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/>
  <mc:AlternateContent xmlns:mc="http://schemas.openxmlformats.org/markup-compatibility/2006">
    <mc:Choice Requires="x15">
      <x15ac:absPath xmlns:x15ac="http://schemas.microsoft.com/office/spreadsheetml/2010/11/ac" url="/Users/assamisilga/Downloads/"/>
    </mc:Choice>
  </mc:AlternateContent>
  <xr:revisionPtr revIDLastSave="0" documentId="13_ncr:1_{45129FB6-21BE-B740-8692-D3221A96E9E3}" xr6:coauthVersionLast="47" xr6:coauthVersionMax="47" xr10:uidLastSave="{00000000-0000-0000-0000-000000000000}"/>
  <bookViews>
    <workbookView xWindow="0" yWindow="660" windowWidth="30240" windowHeight="18980" tabRatio="500" activeTab="2" xr2:uid="{00000000-000D-0000-FFFF-FFFF00000000}"/>
  </bookViews>
  <sheets>
    <sheet name="📋 Guide" sheetId="1" r:id="rId1"/>
    <sheet name="⚙️ Paramètres" sheetId="2" r:id="rId2"/>
    <sheet name="🏦 Relevé Banque" sheetId="3" r:id="rId3"/>
    <sheet name="📒 Comptabilité" sheetId="4" r:id="rId4"/>
    <sheet name="📊 Synthèse" sheetId="5" r:id="rId5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4" i="3" l="1" a="1"/>
  <c r="H4" i="3" s="1"/>
  <c r="G4" i="3"/>
  <c r="D13" i="5"/>
  <c r="E54" i="4"/>
  <c r="D54" i="4"/>
  <c r="F53" i="4"/>
  <c r="F52" i="4"/>
  <c r="H52" i="4" s="1"/>
  <c r="J52" i="4" s="1"/>
  <c r="F51" i="4"/>
  <c r="J50" i="4"/>
  <c r="H50" i="4"/>
  <c r="F50" i="4"/>
  <c r="F49" i="4"/>
  <c r="H49" i="4" s="1"/>
  <c r="J49" i="4" s="1"/>
  <c r="F48" i="4"/>
  <c r="H48" i="4" s="1"/>
  <c r="J48" i="4" s="1"/>
  <c r="J47" i="4"/>
  <c r="H47" i="4"/>
  <c r="F47" i="4"/>
  <c r="F46" i="4"/>
  <c r="H45" i="4"/>
  <c r="J45" i="4" s="1"/>
  <c r="F45" i="4"/>
  <c r="F44" i="4"/>
  <c r="H44" i="4" s="1"/>
  <c r="J44" i="4" s="1"/>
  <c r="F43" i="4"/>
  <c r="H43" i="4" s="1"/>
  <c r="J43" i="4" s="1"/>
  <c r="J42" i="4"/>
  <c r="H42" i="4"/>
  <c r="F42" i="4"/>
  <c r="F41" i="4"/>
  <c r="H40" i="4"/>
  <c r="J40" i="4" s="1"/>
  <c r="F40" i="4"/>
  <c r="F39" i="4"/>
  <c r="H39" i="4" s="1"/>
  <c r="J39" i="4" s="1"/>
  <c r="H38" i="4"/>
  <c r="J38" i="4" s="1"/>
  <c r="F38" i="4"/>
  <c r="J37" i="4"/>
  <c r="H37" i="4"/>
  <c r="F37" i="4"/>
  <c r="F36" i="4"/>
  <c r="H35" i="4"/>
  <c r="J35" i="4" s="1"/>
  <c r="F35" i="4"/>
  <c r="F34" i="4"/>
  <c r="H34" i="4" s="1"/>
  <c r="J34" i="4" s="1"/>
  <c r="H33" i="4"/>
  <c r="J33" i="4" s="1"/>
  <c r="F33" i="4"/>
  <c r="J32" i="4"/>
  <c r="H32" i="4"/>
  <c r="F32" i="4"/>
  <c r="F31" i="4"/>
  <c r="H30" i="4"/>
  <c r="J30" i="4" s="1"/>
  <c r="F30" i="4"/>
  <c r="J29" i="4"/>
  <c r="F29" i="4"/>
  <c r="H29" i="4" s="1"/>
  <c r="F28" i="4"/>
  <c r="J27" i="4"/>
  <c r="H27" i="4"/>
  <c r="F27" i="4"/>
  <c r="F26" i="4"/>
  <c r="J25" i="4"/>
  <c r="H25" i="4"/>
  <c r="F25" i="4"/>
  <c r="F24" i="4"/>
  <c r="H24" i="4" s="1"/>
  <c r="J24" i="4" s="1"/>
  <c r="F23" i="4"/>
  <c r="H23" i="4" s="1"/>
  <c r="J23" i="4" s="1"/>
  <c r="J22" i="4"/>
  <c r="H22" i="4"/>
  <c r="F22" i="4"/>
  <c r="F21" i="4"/>
  <c r="H20" i="4"/>
  <c r="J20" i="4" s="1"/>
  <c r="F20" i="4"/>
  <c r="F19" i="4"/>
  <c r="H19" i="4" s="1"/>
  <c r="J19" i="4" s="1"/>
  <c r="F18" i="4"/>
  <c r="H18" i="4" s="1"/>
  <c r="J18" i="4" s="1"/>
  <c r="J17" i="4"/>
  <c r="H17" i="4"/>
  <c r="F17" i="4"/>
  <c r="F16" i="4"/>
  <c r="H16" i="4" s="1"/>
  <c r="J16" i="4" s="1"/>
  <c r="J15" i="4"/>
  <c r="H15" i="4"/>
  <c r="F15" i="4"/>
  <c r="F14" i="4"/>
  <c r="H14" i="4" s="1"/>
  <c r="J14" i="4" s="1"/>
  <c r="F13" i="4"/>
  <c r="H13" i="4" s="1"/>
  <c r="F12" i="4"/>
  <c r="F11" i="4"/>
  <c r="F10" i="4"/>
  <c r="H10" i="4" s="1"/>
  <c r="F9" i="4"/>
  <c r="F8" i="4"/>
  <c r="F7" i="4"/>
  <c r="F6" i="4"/>
  <c r="F5" i="4"/>
  <c r="H13" i="3" s="1"/>
  <c r="F4" i="4"/>
  <c r="E54" i="3"/>
  <c r="D54" i="3"/>
  <c r="H53" i="3"/>
  <c r="J53" i="3" s="1"/>
  <c r="F53" i="3"/>
  <c r="F52" i="3"/>
  <c r="H52" i="3" s="1"/>
  <c r="J52" i="3" s="1"/>
  <c r="H51" i="3"/>
  <c r="J51" i="3" s="1"/>
  <c r="F51" i="3"/>
  <c r="F50" i="3"/>
  <c r="H50" i="3" s="1"/>
  <c r="J50" i="3" s="1"/>
  <c r="H49" i="3"/>
  <c r="J49" i="3" s="1"/>
  <c r="F49" i="3"/>
  <c r="H48" i="3"/>
  <c r="J48" i="3" s="1"/>
  <c r="F48" i="3"/>
  <c r="F47" i="3"/>
  <c r="H47" i="3" s="1"/>
  <c r="J47" i="3" s="1"/>
  <c r="H46" i="3"/>
  <c r="J46" i="3" s="1"/>
  <c r="F46" i="3"/>
  <c r="F45" i="3"/>
  <c r="H45" i="3" s="1"/>
  <c r="J45" i="3" s="1"/>
  <c r="F44" i="3"/>
  <c r="H44" i="3" s="1"/>
  <c r="J44" i="3" s="1"/>
  <c r="H43" i="3"/>
  <c r="J43" i="3" s="1"/>
  <c r="F43" i="3"/>
  <c r="F42" i="3"/>
  <c r="H42" i="3" s="1"/>
  <c r="J42" i="3" s="1"/>
  <c r="F41" i="3"/>
  <c r="H41" i="3" s="1"/>
  <c r="J41" i="3" s="1"/>
  <c r="F40" i="3"/>
  <c r="H40" i="3" s="1"/>
  <c r="J40" i="3" s="1"/>
  <c r="F39" i="3"/>
  <c r="H39" i="3" s="1"/>
  <c r="J39" i="3" s="1"/>
  <c r="J38" i="3"/>
  <c r="H38" i="3"/>
  <c r="F38" i="3"/>
  <c r="F37" i="3"/>
  <c r="H37" i="3" s="1"/>
  <c r="J37" i="3" s="1"/>
  <c r="F36" i="3"/>
  <c r="H36" i="3" s="1"/>
  <c r="J36" i="3" s="1"/>
  <c r="J35" i="3"/>
  <c r="F35" i="3"/>
  <c r="H35" i="3" s="1"/>
  <c r="F34" i="3"/>
  <c r="J33" i="3"/>
  <c r="H33" i="3"/>
  <c r="F33" i="3"/>
  <c r="F32" i="3"/>
  <c r="H32" i="3" s="1"/>
  <c r="J32" i="3" s="1"/>
  <c r="F31" i="3"/>
  <c r="J30" i="3"/>
  <c r="F30" i="3"/>
  <c r="H30" i="3" s="1"/>
  <c r="H29" i="3"/>
  <c r="J29" i="3" s="1"/>
  <c r="F29" i="3"/>
  <c r="H28" i="3"/>
  <c r="J28" i="3" s="1"/>
  <c r="F28" i="3"/>
  <c r="F27" i="3"/>
  <c r="H27" i="3" s="1"/>
  <c r="J27" i="3" s="1"/>
  <c r="H26" i="3"/>
  <c r="J26" i="3" s="1"/>
  <c r="F26" i="3"/>
  <c r="F25" i="3"/>
  <c r="H25" i="3" s="1"/>
  <c r="J25" i="3" s="1"/>
  <c r="H24" i="3"/>
  <c r="J24" i="3" s="1"/>
  <c r="F24" i="3"/>
  <c r="H23" i="3"/>
  <c r="J23" i="3" s="1"/>
  <c r="F23" i="3"/>
  <c r="F22" i="3"/>
  <c r="H22" i="3" s="1"/>
  <c r="J22" i="3" s="1"/>
  <c r="H21" i="3"/>
  <c r="J21" i="3" s="1"/>
  <c r="F21" i="3"/>
  <c r="F20" i="3"/>
  <c r="H20" i="3" s="1"/>
  <c r="J20" i="3" s="1"/>
  <c r="F19" i="3"/>
  <c r="H19" i="3" s="1"/>
  <c r="J19" i="3" s="1"/>
  <c r="H18" i="3"/>
  <c r="J18" i="3" s="1"/>
  <c r="F18" i="3"/>
  <c r="F17" i="3"/>
  <c r="H17" i="3" s="1"/>
  <c r="J17" i="3" s="1"/>
  <c r="F16" i="3"/>
  <c r="H16" i="3" s="1"/>
  <c r="J16" i="3" s="1"/>
  <c r="F15" i="3"/>
  <c r="H15" i="3" s="1"/>
  <c r="J15" i="3" s="1"/>
  <c r="F14" i="3"/>
  <c r="H14" i="3" s="1"/>
  <c r="J14" i="3" s="1"/>
  <c r="F13" i="3"/>
  <c r="F12" i="3"/>
  <c r="F11" i="3"/>
  <c r="H11" i="3" s="1"/>
  <c r="J11" i="3" s="1"/>
  <c r="F10" i="3"/>
  <c r="F9" i="3"/>
  <c r="F8" i="3"/>
  <c r="F7" i="3"/>
  <c r="F6" i="3"/>
  <c r="F5" i="3"/>
  <c r="F4" i="3"/>
  <c r="H7" i="4" s="1"/>
  <c r="J7" i="4" s="1"/>
  <c r="H26" i="4" l="1"/>
  <c r="J26" i="4" s="1"/>
  <c r="H51" i="4"/>
  <c r="J51" i="4" s="1"/>
  <c r="F54" i="3"/>
  <c r="H41" i="4"/>
  <c r="J41" i="4" s="1"/>
  <c r="H5" i="3"/>
  <c r="J5" i="3" s="1"/>
  <c r="H8" i="3"/>
  <c r="F54" i="4"/>
  <c r="H12" i="3"/>
  <c r="H46" i="4"/>
  <c r="J46" i="4" s="1"/>
  <c r="H53" i="4"/>
  <c r="J53" i="4" s="1"/>
  <c r="H6" i="3"/>
  <c r="J6" i="3" s="1"/>
  <c r="H9" i="3"/>
  <c r="J9" i="3" s="1"/>
  <c r="H31" i="3"/>
  <c r="J31" i="3" s="1"/>
  <c r="H34" i="3"/>
  <c r="J34" i="3" s="1"/>
  <c r="H5" i="4"/>
  <c r="J5" i="4" s="1"/>
  <c r="H8" i="4"/>
  <c r="H28" i="4"/>
  <c r="J28" i="4" s="1"/>
  <c r="H36" i="4"/>
  <c r="J36" i="4" s="1"/>
  <c r="H31" i="4"/>
  <c r="J31" i="4" s="1"/>
  <c r="H11" i="4"/>
  <c r="J11" i="4" s="1"/>
  <c r="H21" i="4"/>
  <c r="J21" i="4" s="1"/>
  <c r="H12" i="4"/>
  <c r="J12" i="4" s="1"/>
  <c r="H7" i="3"/>
  <c r="J7" i="3" s="1"/>
  <c r="H10" i="3"/>
  <c r="J10" i="3" s="1"/>
  <c r="H6" i="4"/>
  <c r="J6" i="4" s="1"/>
  <c r="H9" i="4"/>
  <c r="J9" i="4" s="1"/>
  <c r="G5" i="3"/>
  <c r="G6" i="3" s="1"/>
  <c r="G7" i="3" s="1"/>
  <c r="G8" i="3" s="1"/>
  <c r="G9" i="3" s="1"/>
  <c r="G10" i="3" s="1"/>
  <c r="G11" i="3" s="1"/>
  <c r="G12" i="3" s="1"/>
  <c r="G13" i="3" s="1"/>
  <c r="G14" i="3" s="1"/>
  <c r="G15" i="3" s="1"/>
  <c r="G16" i="3" s="1"/>
  <c r="G17" i="3" s="1"/>
  <c r="G18" i="3" s="1"/>
  <c r="G19" i="3" s="1"/>
  <c r="G20" i="3" s="1"/>
  <c r="G21" i="3" s="1"/>
  <c r="G22" i="3" s="1"/>
  <c r="G23" i="3" s="1"/>
  <c r="G24" i="3" s="1"/>
  <c r="G25" i="3" s="1"/>
  <c r="G26" i="3" s="1"/>
  <c r="G27" i="3" s="1"/>
  <c r="G28" i="3" s="1"/>
  <c r="G29" i="3" s="1"/>
  <c r="G30" i="3" s="1"/>
  <c r="G31" i="3" s="1"/>
  <c r="G32" i="3" s="1"/>
  <c r="G33" i="3" s="1"/>
  <c r="G34" i="3" s="1"/>
  <c r="G35" i="3" s="1"/>
  <c r="G36" i="3" s="1"/>
  <c r="G37" i="3" s="1"/>
  <c r="G38" i="3" s="1"/>
  <c r="G39" i="3" s="1"/>
  <c r="G40" i="3" s="1"/>
  <c r="G41" i="3" s="1"/>
  <c r="G42" i="3" s="1"/>
  <c r="G43" i="3" s="1"/>
  <c r="G44" i="3" s="1"/>
  <c r="G45" i="3" s="1"/>
  <c r="G46" i="3" s="1"/>
  <c r="G47" i="3" s="1"/>
  <c r="G48" i="3" s="1"/>
  <c r="G49" i="3" s="1"/>
  <c r="G50" i="3" s="1"/>
  <c r="G51" i="3" s="1"/>
  <c r="G52" i="3" s="1"/>
  <c r="G53" i="3" s="1"/>
  <c r="G54" i="3" s="1"/>
  <c r="D4" i="5" s="1"/>
  <c r="G4" i="4"/>
  <c r="G5" i="4" s="1"/>
  <c r="G6" i="4" s="1"/>
  <c r="G7" i="4" s="1"/>
  <c r="G8" i="4" s="1"/>
  <c r="G9" i="4" s="1"/>
  <c r="G10" i="4" s="1"/>
  <c r="G11" i="4" s="1"/>
  <c r="G12" i="4" s="1"/>
  <c r="G13" i="4" s="1"/>
  <c r="G14" i="4" s="1"/>
  <c r="H4" i="4"/>
  <c r="J10" i="4" s="1"/>
  <c r="G16" i="4" l="1"/>
  <c r="G17" i="4" s="1"/>
  <c r="G18" i="4" s="1"/>
  <c r="G19" i="4" s="1"/>
  <c r="G20" i="4" s="1"/>
  <c r="G21" i="4" s="1"/>
  <c r="G22" i="4" s="1"/>
  <c r="G23" i="4" s="1"/>
  <c r="G24" i="4" s="1"/>
  <c r="G25" i="4" s="1"/>
  <c r="G26" i="4" s="1"/>
  <c r="G27" i="4" s="1"/>
  <c r="G28" i="4" s="1"/>
  <c r="G29" i="4" s="1"/>
  <c r="G30" i="4" s="1"/>
  <c r="G31" i="4" s="1"/>
  <c r="G32" i="4" s="1"/>
  <c r="G33" i="4" s="1"/>
  <c r="G34" i="4" s="1"/>
  <c r="G35" i="4" s="1"/>
  <c r="G36" i="4" s="1"/>
  <c r="G37" i="4" s="1"/>
  <c r="G38" i="4" s="1"/>
  <c r="G39" i="4" s="1"/>
  <c r="G40" i="4" s="1"/>
  <c r="G41" i="4" s="1"/>
  <c r="G42" i="4" s="1"/>
  <c r="G43" i="4" s="1"/>
  <c r="G44" i="4" s="1"/>
  <c r="G45" i="4" s="1"/>
  <c r="G46" i="4" s="1"/>
  <c r="G47" i="4" s="1"/>
  <c r="G48" i="4" s="1"/>
  <c r="G49" i="4" s="1"/>
  <c r="G50" i="4" s="1"/>
  <c r="G51" i="4" s="1"/>
  <c r="G52" i="4" s="1"/>
  <c r="G53" i="4" s="1"/>
  <c r="G54" i="4" s="1"/>
  <c r="D5" i="5" s="1"/>
  <c r="D6" i="5" s="1"/>
  <c r="G15" i="4"/>
  <c r="J8" i="4"/>
  <c r="D11" i="5"/>
  <c r="D12" i="5"/>
  <c r="J4" i="4"/>
  <c r="J13" i="4"/>
  <c r="D10" i="5"/>
  <c r="D9" i="5"/>
  <c r="J4" i="3"/>
  <c r="J12" i="3"/>
  <c r="J13" i="3"/>
  <c r="J8" i="3"/>
  <c r="A16" i="5" l="1"/>
  <c r="F44" i="5"/>
  <c r="D41" i="5"/>
  <c r="F39" i="5"/>
  <c r="D36" i="5"/>
  <c r="F34" i="5"/>
  <c r="D31" i="5"/>
  <c r="F29" i="5"/>
  <c r="D26" i="5"/>
  <c r="F24" i="5"/>
  <c r="D21" i="5"/>
  <c r="E42" i="5"/>
  <c r="E37" i="5"/>
  <c r="E32" i="5"/>
  <c r="E27" i="5"/>
  <c r="E22" i="5"/>
  <c r="E44" i="5"/>
  <c r="E39" i="5"/>
  <c r="E34" i="5"/>
  <c r="E29" i="5"/>
  <c r="E24" i="5"/>
  <c r="D44" i="5"/>
  <c r="F42" i="5"/>
  <c r="D39" i="5"/>
  <c r="F37" i="5"/>
  <c r="D34" i="5"/>
  <c r="F32" i="5"/>
  <c r="D29" i="5"/>
  <c r="F27" i="5"/>
  <c r="D24" i="5"/>
  <c r="F22" i="5"/>
  <c r="D43" i="5"/>
  <c r="F41" i="5"/>
  <c r="D38" i="5"/>
  <c r="F36" i="5"/>
  <c r="D33" i="5"/>
  <c r="F31" i="5"/>
  <c r="D28" i="5"/>
  <c r="F26" i="5"/>
  <c r="D23" i="5"/>
  <c r="F21" i="5"/>
  <c r="F40" i="5"/>
  <c r="D37" i="5"/>
  <c r="F30" i="5"/>
  <c r="D27" i="5"/>
  <c r="F20" i="5"/>
  <c r="E26" i="5"/>
  <c r="D32" i="5"/>
  <c r="F25" i="5"/>
  <c r="E40" i="5"/>
  <c r="E30" i="5"/>
  <c r="E20" i="5"/>
  <c r="D40" i="5"/>
  <c r="F33" i="5"/>
  <c r="D30" i="5"/>
  <c r="F23" i="5"/>
  <c r="D20" i="5"/>
  <c r="F43" i="5"/>
  <c r="E43" i="5"/>
  <c r="E33" i="5"/>
  <c r="E23" i="5"/>
  <c r="E36" i="5"/>
  <c r="D22" i="5"/>
  <c r="D42" i="5"/>
  <c r="E35" i="5"/>
  <c r="E25" i="5"/>
  <c r="F38" i="5"/>
  <c r="D35" i="5"/>
  <c r="F28" i="5"/>
  <c r="D25" i="5"/>
  <c r="E38" i="5"/>
  <c r="E28" i="5"/>
  <c r="E41" i="5"/>
  <c r="E31" i="5"/>
  <c r="E21" i="5"/>
  <c r="F35" i="5"/>
  <c r="B43" i="5"/>
  <c r="B38" i="5"/>
  <c r="B33" i="5"/>
  <c r="B28" i="5"/>
  <c r="B23" i="5"/>
  <c r="C44" i="5"/>
  <c r="A41" i="5"/>
  <c r="C39" i="5"/>
  <c r="A36" i="5"/>
  <c r="C34" i="5"/>
  <c r="A31" i="5"/>
  <c r="C29" i="5"/>
  <c r="A26" i="5"/>
  <c r="C24" i="5"/>
  <c r="A21" i="5"/>
  <c r="A43" i="5"/>
  <c r="C41" i="5"/>
  <c r="A38" i="5"/>
  <c r="C36" i="5"/>
  <c r="A33" i="5"/>
  <c r="C31" i="5"/>
  <c r="A28" i="5"/>
  <c r="C26" i="5"/>
  <c r="A23" i="5"/>
  <c r="C21" i="5"/>
  <c r="B41" i="5"/>
  <c r="B36" i="5"/>
  <c r="B31" i="5"/>
  <c r="B26" i="5"/>
  <c r="B21" i="5"/>
  <c r="B40" i="5"/>
  <c r="B35" i="5"/>
  <c r="B30" i="5"/>
  <c r="B25" i="5"/>
  <c r="B20" i="5"/>
  <c r="B44" i="5"/>
  <c r="B34" i="5"/>
  <c r="B24" i="5"/>
  <c r="A40" i="5"/>
  <c r="C33" i="5"/>
  <c r="A30" i="5"/>
  <c r="C23" i="5"/>
  <c r="A20" i="5"/>
  <c r="A44" i="5"/>
  <c r="C37" i="5"/>
  <c r="A34" i="5"/>
  <c r="C27" i="5"/>
  <c r="A24" i="5"/>
  <c r="B37" i="5"/>
  <c r="B27" i="5"/>
  <c r="A37" i="5"/>
  <c r="C30" i="5"/>
  <c r="A27" i="5"/>
  <c r="C20" i="5"/>
  <c r="C40" i="5"/>
  <c r="C43" i="5"/>
  <c r="B29" i="5"/>
  <c r="C42" i="5"/>
  <c r="A39" i="5"/>
  <c r="C32" i="5"/>
  <c r="A29" i="5"/>
  <c r="C22" i="5"/>
  <c r="B39" i="5"/>
  <c r="B42" i="5"/>
  <c r="B32" i="5"/>
  <c r="B22" i="5"/>
  <c r="A42" i="5"/>
  <c r="C35" i="5"/>
  <c r="A32" i="5"/>
  <c r="C25" i="5"/>
  <c r="A22" i="5"/>
  <c r="C38" i="5"/>
  <c r="A35" i="5"/>
  <c r="C28" i="5"/>
  <c r="A25" i="5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<sst xmlns="http://schemas.openxmlformats.org/spreadsheetml/2006/main" count="112" uniqueCount="96">
  <si>
    <t>GUIDE – RAPPROCHEMENT BANCAIRE AUTOMATIQUE</t>
  </si>
  <si>
    <t>🔵 Principe</t>
  </si>
  <si>
    <t>Le classeur rapproche automatiquement chaque ligne en comparant le MONTANT NET et la DATE, avec une TOLÉRANCE de jours réglable (chèque émis ≠ chèque encaissé).</t>
  </si>
  <si>
    <t>🔵 Étape 1 – Paramètres</t>
  </si>
  <si>
    <t>Renseignez société, période, soldes initiaux ET la « Fenêtre de tolérance (jours) » : nombre de jours d'écart admis entre date comptable et date bancaire.</t>
  </si>
  <si>
    <t>🔵 Étape 2 – Saisie</t>
  </si>
  <si>
    <t>Saisissez Date, Débit, Crédit de chaque ligne dans « Relevé Banque » et « Comptabilité ». Côté compta : mettez la date d'émission ; côté banque : la date d'encaissement.</t>
  </si>
  <si>
    <t>🔵 Étape 3 – Rapprochement automatique</t>
  </si>
  <si>
    <t>La colonne « Statut » passe seule à ✔ Rapproché (vert) ou ✘ Non rapproché (rouge).</t>
  </si>
  <si>
    <t>🔵 Étape 4 – Synthèse</t>
  </si>
  <si>
    <t>La « Synthèse » calcule l'écart, les compteurs, et liste les lignes non rapprochées des deux côtés.</t>
  </si>
  <si>
    <t>⚠️ Règle de correspondance</t>
  </si>
  <si>
    <t>Une ligne est rapprochée s'il existe en face AU MOINS une ligne de même montant net (Crédit−Débit) dont la date est comprise dans ± la fenêtre de tolérance.</t>
  </si>
  <si>
    <t>Exemple : tolérance = 15 → un chèque comptabilisé le 02/01 et encaissé le 14/01 (12 jours) est rapproché. Au-delà de 15 jours, il ressort en « Non rapproché ».</t>
  </si>
  <si>
    <t>Le système gère les doublons (occurrences). Texte bleu = saisie. Texte noir = formule automatique.</t>
  </si>
  <si>
    <t>PARAMÈTRES DU RAPPROCHEMENT</t>
  </si>
  <si>
    <t>Société / Entité</t>
  </si>
  <si>
    <t>DEMO SARL</t>
  </si>
  <si>
    <t>Compte bancaire (N°)</t>
  </si>
  <si>
    <t>FR76 3000 4000 0512 3456 7890 185</t>
  </si>
  <si>
    <t>Banque</t>
  </si>
  <si>
    <t>Banque Démo</t>
  </si>
  <si>
    <t>Période (mois/année)</t>
  </si>
  <si>
    <t>Janvier 2025</t>
  </si>
  <si>
    <t>Devise</t>
  </si>
  <si>
    <t>EUR</t>
  </si>
  <si>
    <t>Solde initial – Relevé</t>
  </si>
  <si>
    <t>Solde initial – Compta</t>
  </si>
  <si>
    <t>Fenêtre de tolérance (jours)</t>
  </si>
  <si>
    <t>ℹ️ La tolérance (B10) règle l'écart de jours admis entre date comptable et date bancaire.</t>
  </si>
  <si>
    <t>RELEVÉ BANQUE</t>
  </si>
  <si>
    <t>Date</t>
  </si>
  <si>
    <t>N° Pièce</t>
  </si>
  <si>
    <t>Libellé</t>
  </si>
  <si>
    <t>Débit (−)</t>
  </si>
  <si>
    <t>Crédit (+)</t>
  </si>
  <si>
    <t>Montant net</t>
  </si>
  <si>
    <t>Solde</t>
  </si>
  <si>
    <t>Statut
(auto)</t>
  </si>
  <si>
    <t>Remarque</t>
  </si>
  <si>
    <t>VIR-IN-01</t>
  </si>
  <si>
    <t>Virement Alpha reçu</t>
  </si>
  <si>
    <t>CHQ-4521</t>
  </si>
  <si>
    <t>Chèque 4521 débité</t>
  </si>
  <si>
    <t>PREL-LOY</t>
  </si>
  <si>
    <t>Prélèvement loyer</t>
  </si>
  <si>
    <t>VIR-IN-02</t>
  </si>
  <si>
    <t>Virement Gamma reçu</t>
  </si>
  <si>
    <t>CHQ-4522</t>
  </si>
  <si>
    <t>Chèque 4522 débité</t>
  </si>
  <si>
    <t>VIR-SAL</t>
  </si>
  <si>
    <t>Virement salaire</t>
  </si>
  <si>
    <t>CHQ-4523</t>
  </si>
  <si>
    <t>Chèque Epsilon débité</t>
  </si>
  <si>
    <t>CB-FOURN</t>
  </si>
  <si>
    <t>Achat CB fournitures</t>
  </si>
  <si>
    <t>AGIOS</t>
  </si>
  <si>
    <t>Agios trimestriels</t>
  </si>
  <si>
    <t>INT-CRED</t>
  </si>
  <si>
    <t>Intérêts créditeurs</t>
  </si>
  <si>
    <t>TOTAUX</t>
  </si>
  <si>
    <t>COMPTABILITÉ</t>
  </si>
  <si>
    <t>EC001</t>
  </si>
  <si>
    <t>Vente client Alpha</t>
  </si>
  <si>
    <t>EC002</t>
  </si>
  <si>
    <t>Chèque 4521 - Fourn. Beta</t>
  </si>
  <si>
    <t>EC003</t>
  </si>
  <si>
    <t>Loyer janvier</t>
  </si>
  <si>
    <t>EC004</t>
  </si>
  <si>
    <t>Vente client Gamma</t>
  </si>
  <si>
    <t>EC005</t>
  </si>
  <si>
    <t>Chèque 4522 - Fourn. Delta</t>
  </si>
  <si>
    <t>EC006</t>
  </si>
  <si>
    <t>Salaire employé</t>
  </si>
  <si>
    <t>EC007</t>
  </si>
  <si>
    <t>Frais bancaires</t>
  </si>
  <si>
    <t>EC008</t>
  </si>
  <si>
    <t>Vente client Epsilon</t>
  </si>
  <si>
    <t>EC009</t>
  </si>
  <si>
    <t>Achat fournitures</t>
  </si>
  <si>
    <t>EC010</t>
  </si>
  <si>
    <t>Remb. note de frais</t>
  </si>
  <si>
    <t>SYNTHÈSE DU RAPPROCHEMENT BANCAIRE</t>
  </si>
  <si>
    <t>① CONTRÔLE DES SOLDES</t>
  </si>
  <si>
    <t>Solde final relevé bancaire</t>
  </si>
  <si>
    <t>Solde final comptabilité</t>
  </si>
  <si>
    <t>Écart de solde (Banque − Compta)</t>
  </si>
  <si>
    <t>② STATISTIQUES (tolérance = jours réglés dans Paramètres)</t>
  </si>
  <si>
    <t>Lignes banque rapprochées</t>
  </si>
  <si>
    <t>Lignes banque NON rapprochées</t>
  </si>
  <si>
    <t>Lignes compta rapprochées</t>
  </si>
  <si>
    <t>Lignes compta NON rapprochées</t>
  </si>
  <si>
    <t>Fenêtre de tolérance appliquée (jours)</t>
  </si>
  <si>
    <t>③ RÉSULTAT</t>
  </si>
  <si>
    <t>LIGNES BANQUE NON RAPPROCHÉES</t>
  </si>
  <si>
    <t>LIGNES COMPTA NON RAPPROCHÉES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</si>
</sst>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1"/>
    </font>
    <font>
      <b/>
      <sz val="14"/>
      <color rgb="FFFFFFFF"/>
      <name val="Arial"/>
      <family val="2"/>
    </font>
    <font>
      <b/>
      <sz val="11"/>
      <color rgb="FF000000"/>
      <name val="Arial"/>
      <family val="2"/>
    </font>
    <font>
      <sz val="10"/>
      <color rgb="FF000000"/>
      <name val="Arial"/>
      <family val="2"/>
    </font>
    <font>
      <b/>
      <sz val="13"/>
      <color rgb="FFFFFFFF"/>
      <name val="Arial"/>
      <family val="2"/>
    </font>
    <font>
      <b/>
      <sz val="10"/>
      <color rgb="FF000000"/>
      <name val="Arial"/>
      <family val="2"/>
    </font>
    <font>
      <sz val="10"/>
      <color rgb="FF0000FF"/>
      <name val="Arial"/>
      <family val="2"/>
    </font>
    <font>
      <sz val="9"/>
      <color rgb="FF555555"/>
      <name val="Arial"/>
      <family val="2"/>
    </font>
    <font>
      <b/>
      <sz val="11"/>
      <color rgb="FFFFFFFF"/>
      <name val="Arial"/>
      <family val="2"/>
    </font>
    <font>
      <sz val="9"/>
      <color rgb="FF000000"/>
      <name val="Arial"/>
      <family val="2"/>
    </font>
    <font>
      <b/>
      <sz val="10"/>
      <color rgb="FFFFFFFF"/>
      <name val="Arial"/>
      <family val="2"/>
    </font>
    <font>
      <b/>
      <sz val="12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1F4E79"/>
        <bgColor rgb="FF003366"/>
      </patternFill>
    </fill>
    <fill>
      <patternFill patternType="solid">
        <fgColor rgb="FFF4B942"/>
        <bgColor rgb="FFFF9900"/>
      </patternFill>
    </fill>
    <fill>
      <patternFill patternType="solid">
        <fgColor rgb="FFC00000"/>
        <bgColor rgb="FF9C0006"/>
      </patternFill>
    </fill>
    <fill>
      <patternFill patternType="solid">
        <fgColor rgb="FFD9D9D9"/>
        <bgColor rgb="FFD6E4F7"/>
      </patternFill>
    </fill>
    <fill>
      <patternFill patternType="solid">
        <fgColor rgb="FFFFFF00"/>
        <bgColor rgb="FFFFFF00"/>
      </patternFill>
    </fill>
    <fill>
      <patternFill patternType="solid">
        <fgColor rgb="FFD6E4F7"/>
        <bgColor rgb="FFD9D9D9"/>
      </patternFill>
    </fill>
    <fill>
      <patternFill patternType="solid">
        <fgColor rgb="FFFFFFFF"/>
        <bgColor rgb="FFFFFFCC"/>
      </patternFill>
    </fill>
    <fill>
      <patternFill patternType="solid">
        <fgColor rgb="FFC6EFCE"/>
        <bgColor rgb="FFD6E4F7"/>
      </patternFill>
    </fill>
    <fill>
      <patternFill patternType="solid">
        <fgColor rgb="FFFFC7CE"/>
        <bgColor rgb="FFD9D9D9"/>
      </patternFill>
    </fill>
    <fill>
      <patternFill patternType="solid">
        <fgColor rgb="FF2E75B6"/>
        <bgColor rgb="FF0066CC"/>
      </patternFill>
    </fill>
  </fills>
  <borders count="3">
    <border>
      <left/>
      <right/>
      <top/>
      <bottom/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43">
    <xf numFmtId="0" fontId="0" fillId="0" borderId="0" xfId="0"/>
    <xf numFmtId="4" fontId="3" fillId="7" borderId="2" xfId="0" applyNumberFormat="1" applyFont="1" applyFill="1" applyBorder="1" applyAlignment="1">
      <alignment horizontal="center" vertical="center" wrapText="1"/>
    </xf>
    <xf numFmtId="4" fontId="3" fillId="10" borderId="2" xfId="0" applyNumberFormat="1" applyFont="1" applyFill="1" applyBorder="1" applyAlignment="1">
      <alignment horizontal="center" vertical="center" wrapText="1"/>
    </xf>
    <xf numFmtId="4" fontId="3" fillId="6" borderId="2" xfId="0" applyNumberFormat="1" applyFont="1" applyFill="1" applyBorder="1" applyAlignment="1">
      <alignment horizontal="center" vertical="center" wrapText="1"/>
    </xf>
    <xf numFmtId="4" fontId="3" fillId="9" borderId="2" xfId="0" applyNumberFormat="1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left" vertical="center" wrapText="1"/>
    </xf>
    <xf numFmtId="0" fontId="8" fillId="3" borderId="0" xfId="0" applyFont="1" applyFill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0" fillId="0" borderId="0" xfId="0"/>
    <xf numFmtId="0" fontId="4" fillId="2" borderId="0" xfId="0" applyFont="1" applyFill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/>
    </xf>
    <xf numFmtId="0" fontId="5" fillId="5" borderId="2" xfId="0" applyFont="1" applyFill="1" applyBorder="1" applyAlignment="1">
      <alignment horizontal="left" vertical="center" wrapText="1"/>
    </xf>
    <xf numFmtId="0" fontId="6" fillId="6" borderId="2" xfId="0" applyFont="1" applyFill="1" applyBorder="1" applyAlignment="1">
      <alignment horizontal="left" vertical="center" wrapText="1"/>
    </xf>
    <xf numFmtId="4" fontId="6" fillId="6" borderId="2" xfId="0" applyNumberFormat="1" applyFont="1" applyFill="1" applyBorder="1" applyAlignment="1">
      <alignment horizontal="left" vertical="center" wrapText="1"/>
    </xf>
    <xf numFmtId="1" fontId="6" fillId="6" borderId="2" xfId="0" applyNumberFormat="1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center" vertical="center" wrapText="1"/>
    </xf>
    <xf numFmtId="14" fontId="3" fillId="7" borderId="2" xfId="0" applyNumberFormat="1" applyFont="1" applyFill="1" applyBorder="1"/>
    <xf numFmtId="0" fontId="3" fillId="7" borderId="2" xfId="0" applyFont="1" applyFill="1" applyBorder="1"/>
    <xf numFmtId="4" fontId="6" fillId="7" borderId="2" xfId="0" applyNumberFormat="1" applyFont="1" applyFill="1" applyBorder="1"/>
    <xf numFmtId="4" fontId="3" fillId="7" borderId="2" xfId="0" applyNumberFormat="1" applyFont="1" applyFill="1" applyBorder="1"/>
    <xf numFmtId="0" fontId="5" fillId="7" borderId="2" xfId="0" applyFont="1" applyFill="1" applyBorder="1" applyAlignment="1">
      <alignment horizontal="center" vertical="center" wrapText="1"/>
    </xf>
    <xf numFmtId="1" fontId="9" fillId="0" borderId="0" xfId="0" applyNumberFormat="1" applyFont="1"/>
    <xf numFmtId="14" fontId="3" fillId="8" borderId="2" xfId="0" applyNumberFormat="1" applyFont="1" applyFill="1" applyBorder="1"/>
    <xf numFmtId="0" fontId="3" fillId="8" borderId="2" xfId="0" applyFont="1" applyFill="1" applyBorder="1"/>
    <xf numFmtId="4" fontId="6" fillId="8" borderId="2" xfId="0" applyNumberFormat="1" applyFont="1" applyFill="1" applyBorder="1"/>
    <xf numFmtId="4" fontId="3" fillId="8" borderId="2" xfId="0" applyNumberFormat="1" applyFont="1" applyFill="1" applyBorder="1"/>
    <xf numFmtId="0" fontId="5" fillId="8" borderId="2" xfId="0" applyFont="1" applyFill="1" applyBorder="1" applyAlignment="1">
      <alignment horizontal="center" vertical="center" wrapText="1"/>
    </xf>
    <xf numFmtId="4" fontId="8" fillId="2" borderId="2" xfId="0" applyNumberFormat="1" applyFont="1" applyFill="1" applyBorder="1" applyAlignment="1">
      <alignment horizontal="center" vertical="center" wrapText="1"/>
    </xf>
    <xf numFmtId="0" fontId="0" fillId="2" borderId="2" xfId="0" applyFill="1" applyBorder="1"/>
    <xf numFmtId="0" fontId="8" fillId="11" borderId="2" xfId="0" applyFont="1" applyFill="1" applyBorder="1" applyAlignment="1">
      <alignment horizontal="center" vertical="center" wrapText="1"/>
    </xf>
    <xf numFmtId="14" fontId="9" fillId="7" borderId="2" xfId="0" applyNumberFormat="1" applyFont="1" applyFill="1" applyBorder="1" applyAlignment="1">
      <alignment horizontal="center" vertical="center" wrapText="1"/>
    </xf>
    <xf numFmtId="0" fontId="9" fillId="7" borderId="2" xfId="0" applyFont="1" applyFill="1" applyBorder="1" applyAlignment="1">
      <alignment horizontal="left" vertical="center" wrapText="1"/>
    </xf>
    <xf numFmtId="4" fontId="9" fillId="7" borderId="2" xfId="0" applyNumberFormat="1" applyFont="1" applyFill="1" applyBorder="1" applyAlignment="1">
      <alignment horizontal="center" vertical="center" wrapText="1"/>
    </xf>
    <xf numFmtId="14" fontId="9" fillId="8" borderId="2" xfId="0" applyNumberFormat="1" applyFont="1" applyFill="1" applyBorder="1" applyAlignment="1">
      <alignment horizontal="center" vertical="center" wrapText="1"/>
    </xf>
    <xf numFmtId="0" fontId="9" fillId="8" borderId="2" xfId="0" applyFont="1" applyFill="1" applyBorder="1" applyAlignment="1">
      <alignment horizontal="left" vertical="center" wrapText="1"/>
    </xf>
    <xf numFmtId="4" fontId="9" fillId="8" borderId="2" xfId="0" applyNumberFormat="1" applyFont="1" applyFill="1" applyBorder="1" applyAlignment="1">
      <alignment horizontal="center" vertical="center" wrapText="1"/>
    </xf>
    <xf numFmtId="0" fontId="8" fillId="4" borderId="0" xfId="0" applyFont="1" applyFill="1" applyAlignment="1">
      <alignment horizontal="center" vertical="center" wrapText="1"/>
    </xf>
    <xf numFmtId="0" fontId="11" fillId="9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4">
    <dxf>
      <font>
        <b/>
        <color rgb="FF9C0006"/>
      </font>
      <fill>
        <patternFill>
          <bgColor rgb="FFFFC7CE"/>
        </patternFill>
      </fill>
    </dxf>
    <dxf>
      <font>
        <b/>
        <color rgb="FF006100"/>
      </font>
      <fill>
        <patternFill>
          <bgColor rgb="FFC6EFCE"/>
        </patternFill>
      </fill>
    </dxf>
    <dxf>
      <font>
        <b/>
        <color rgb="FF9C0006"/>
      </font>
      <fill>
        <patternFill>
          <bgColor rgb="FFFFC7CE"/>
        </patternFill>
      </fill>
    </dxf>
    <dxf>
      <font>
        <b/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D6E4F7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7CE"/>
      <rgbColor rgb="FF2E75B6"/>
      <rgbColor rgb="FF33CCCC"/>
      <rgbColor rgb="FF99CC00"/>
      <rgbColor rgb="FFF4B942"/>
      <rgbColor rgb="FFFF9900"/>
      <rgbColor rgb="FFFF6600"/>
      <rgbColor rgb="FF555555"/>
      <rgbColor rgb="FF969696"/>
      <rgbColor rgb="FF003366"/>
      <rgbColor rgb="FF339966"/>
      <rgbColor rgb="FF003300"/>
      <rgbColor rgb="FF333300"/>
      <rgbColor rgb="FF993300"/>
      <rgbColor rgb="FF993366"/>
      <rgbColor rgb="FF1F4E79"/>
      <rgbColor rgb="FF37562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F4E79"/>
  </sheetPr>
  <dimension ref="A1:F21"/>
  <sheetViews>
    <sheetView showGridLines="0" zoomScaleNormal="100" workbookViewId="0">
      <selection sqref="A1:F1"/>
    </sheetView>
  </sheetViews>
  <sheetFormatPr baseColWidth="10" defaultColWidth="8.6640625" defaultRowHeight="15" x14ac:dyDescent="0.2"/>
  <cols>
    <col min="1" max="1" width="4" customWidth="1"/>
    <col min="2" max="6" width="22" customWidth="1"/>
  </cols>
  <sheetData>
    <row r="1" spans="1:6" ht="30" customHeight="1" x14ac:dyDescent="0.2">
      <c r="A1" s="14" t="s">
        <v>0</v>
      </c>
      <c r="B1" s="14"/>
      <c r="C1" s="14"/>
      <c r="D1" s="14"/>
      <c r="E1" s="14"/>
      <c r="F1" s="14"/>
    </row>
    <row r="3" spans="1:6" ht="24" customHeight="1" x14ac:dyDescent="0.2">
      <c r="A3" s="13" t="s">
        <v>1</v>
      </c>
      <c r="B3" s="13"/>
      <c r="C3" s="13"/>
      <c r="D3" s="13"/>
      <c r="E3" s="13"/>
      <c r="F3" s="13"/>
    </row>
    <row r="4" spans="1:6" ht="24" customHeight="1" x14ac:dyDescent="0.2">
      <c r="A4" s="12" t="s">
        <v>2</v>
      </c>
      <c r="B4" s="12"/>
      <c r="C4" s="12"/>
      <c r="D4" s="12"/>
      <c r="E4" s="12"/>
      <c r="F4" s="12"/>
    </row>
    <row r="6" spans="1:6" ht="24" customHeight="1" x14ac:dyDescent="0.2">
      <c r="A6" s="13" t="s">
        <v>3</v>
      </c>
      <c r="B6" s="13"/>
      <c r="C6" s="13"/>
      <c r="D6" s="13"/>
      <c r="E6" s="13"/>
      <c r="F6" s="13"/>
    </row>
    <row r="7" spans="1:6" ht="24" customHeight="1" x14ac:dyDescent="0.2">
      <c r="A7" s="12" t="s">
        <v>4</v>
      </c>
      <c r="B7" s="12"/>
      <c r="C7" s="12"/>
      <c r="D7" s="12"/>
      <c r="E7" s="12"/>
      <c r="F7" s="12"/>
    </row>
    <row r="9" spans="1:6" ht="24" customHeight="1" x14ac:dyDescent="0.2">
      <c r="A9" s="13" t="s">
        <v>5</v>
      </c>
      <c r="B9" s="13"/>
      <c r="C9" s="13"/>
      <c r="D9" s="13"/>
      <c r="E9" s="13"/>
      <c r="F9" s="13"/>
    </row>
    <row r="10" spans="1:6" ht="24" customHeight="1" x14ac:dyDescent="0.2">
      <c r="A10" s="12" t="s">
        <v>6</v>
      </c>
      <c r="B10" s="12"/>
      <c r="C10" s="12"/>
      <c r="D10" s="12"/>
      <c r="E10" s="12"/>
      <c r="F10" s="12"/>
    </row>
    <row r="12" spans="1:6" ht="24" customHeight="1" x14ac:dyDescent="0.2">
      <c r="A12" s="13" t="s">
        <v>7</v>
      </c>
      <c r="B12" s="13"/>
      <c r="C12" s="13"/>
      <c r="D12" s="13"/>
      <c r="E12" s="13"/>
      <c r="F12" s="13"/>
    </row>
    <row r="13" spans="1:6" ht="24" customHeight="1" x14ac:dyDescent="0.2">
      <c r="A13" s="12" t="s">
        <v>8</v>
      </c>
      <c r="B13" s="12"/>
      <c r="C13" s="12"/>
      <c r="D13" s="12"/>
      <c r="E13" s="12"/>
      <c r="F13" s="12"/>
    </row>
    <row r="15" spans="1:6" ht="24" customHeight="1" x14ac:dyDescent="0.2">
      <c r="A15" s="13" t="s">
        <v>9</v>
      </c>
      <c r="B15" s="13"/>
      <c r="C15" s="13"/>
      <c r="D15" s="13"/>
      <c r="E15" s="13"/>
      <c r="F15" s="13"/>
    </row>
    <row r="16" spans="1:6" ht="24" customHeight="1" x14ac:dyDescent="0.2">
      <c r="A16" s="12" t="s">
        <v>10</v>
      </c>
      <c r="B16" s="12"/>
      <c r="C16" s="12"/>
      <c r="D16" s="12"/>
      <c r="E16" s="12"/>
      <c r="F16" s="12"/>
    </row>
    <row r="18" spans="1:6" ht="24" customHeight="1" x14ac:dyDescent="0.2">
      <c r="A18" s="11" t="s">
        <v>11</v>
      </c>
      <c r="B18" s="11"/>
      <c r="C18" s="11"/>
      <c r="D18" s="11"/>
      <c r="E18" s="11"/>
      <c r="F18" s="11"/>
    </row>
    <row r="19" spans="1:6" ht="24" customHeight="1" x14ac:dyDescent="0.2">
      <c r="A19" s="12" t="s">
        <v>12</v>
      </c>
      <c r="B19" s="12"/>
      <c r="C19" s="12"/>
      <c r="D19" s="12"/>
      <c r="E19" s="12"/>
      <c r="F19" s="12"/>
    </row>
    <row r="20" spans="1:6" ht="24" customHeight="1" x14ac:dyDescent="0.2">
      <c r="A20" s="12" t="s">
        <v>13</v>
      </c>
      <c r="B20" s="12"/>
      <c r="C20" s="12"/>
      <c r="D20" s="12"/>
      <c r="E20" s="12"/>
      <c r="F20" s="12"/>
    </row>
    <row r="21" spans="1:6" ht="24" customHeight="1" x14ac:dyDescent="0.2">
      <c r="A21" s="12" t="s">
        <v>14</v>
      </c>
      <c r="B21" s="12"/>
      <c r="C21" s="12"/>
      <c r="D21" s="12"/>
      <c r="E21" s="12"/>
      <c r="F21" s="12"/>
    </row>
  </sheetData>
  <mergeCells count="15">
    <mergeCell ref="A16:F16"/>
    <mergeCell ref="A18:F18"/>
    <mergeCell ref="A19:F19"/>
    <mergeCell ref="A20:F20"/>
    <mergeCell ref="A21:F21"/>
    <mergeCell ref="A9:F9"/>
    <mergeCell ref="A10:F10"/>
    <mergeCell ref="A12:F12"/>
    <mergeCell ref="A13:F13"/>
    <mergeCell ref="A15:F15"/>
    <mergeCell ref="A1:F1"/>
    <mergeCell ref="A3:F3"/>
    <mergeCell ref="A4:F4"/>
    <mergeCell ref="A6:F6"/>
    <mergeCell ref="A7:F7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4B942"/>
  </sheetPr>
  <dimension ref="A1:D11"/>
  <sheetViews>
    <sheetView showGridLines="0" zoomScale="213" zoomScaleNormal="100" workbookViewId="0">
      <selection activeCell="B10" sqref="B10"/>
    </sheetView>
  </sheetViews>
  <sheetFormatPr baseColWidth="10" defaultColWidth="8.6640625" defaultRowHeight="15" x14ac:dyDescent="0.2"/>
  <cols>
    <col min="1" max="1" width="32" customWidth="1"/>
    <col min="2" max="2" width="22.5" customWidth="1"/>
    <col min="3" max="4" width="18" customWidth="1"/>
  </cols>
  <sheetData>
    <row r="1" spans="1:4" ht="27.75" customHeight="1" x14ac:dyDescent="0.2">
      <c r="A1" s="10" t="s">
        <v>15</v>
      </c>
      <c r="B1" s="10"/>
      <c r="C1" s="10"/>
      <c r="D1" s="10"/>
    </row>
    <row r="3" spans="1:4" x14ac:dyDescent="0.2">
      <c r="A3" s="15" t="s">
        <v>16</v>
      </c>
      <c r="B3" s="16" t="s">
        <v>17</v>
      </c>
      <c r="C3" s="9"/>
      <c r="D3" s="9"/>
    </row>
    <row r="4" spans="1:4" ht="28" x14ac:dyDescent="0.2">
      <c r="A4" s="15" t="s">
        <v>18</v>
      </c>
      <c r="B4" s="16" t="s">
        <v>19</v>
      </c>
      <c r="C4" s="9"/>
      <c r="D4" s="9"/>
    </row>
    <row r="5" spans="1:4" x14ac:dyDescent="0.2">
      <c r="A5" s="15" t="s">
        <v>20</v>
      </c>
      <c r="B5" s="16" t="s">
        <v>21</v>
      </c>
      <c r="C5" s="9"/>
      <c r="D5" s="9"/>
    </row>
    <row r="6" spans="1:4" x14ac:dyDescent="0.2">
      <c r="A6" s="15" t="s">
        <v>22</v>
      </c>
      <c r="B6" s="16" t="s">
        <v>23</v>
      </c>
      <c r="C6" s="9"/>
      <c r="D6" s="9"/>
    </row>
    <row r="7" spans="1:4" x14ac:dyDescent="0.2">
      <c r="A7" s="15" t="s">
        <v>24</v>
      </c>
      <c r="B7" s="16" t="s">
        <v>25</v>
      </c>
      <c r="C7" s="9"/>
      <c r="D7" s="9"/>
    </row>
    <row r="8" spans="1:4" x14ac:dyDescent="0.2">
      <c r="A8" s="15" t="s">
        <v>26</v>
      </c>
      <c r="B8" s="17">
        <v>10000</v>
      </c>
      <c r="C8" s="9"/>
      <c r="D8" s="9"/>
    </row>
    <row r="9" spans="1:4" ht="19.5" customHeight="1" x14ac:dyDescent="0.2">
      <c r="A9" s="15" t="s">
        <v>27</v>
      </c>
      <c r="B9" s="17">
        <v>15000</v>
      </c>
      <c r="C9" s="9"/>
      <c r="D9" s="9"/>
    </row>
    <row r="10" spans="1:4" ht="19.5" customHeight="1" x14ac:dyDescent="0.2">
      <c r="A10" s="15" t="s">
        <v>28</v>
      </c>
      <c r="B10" s="18">
        <v>15</v>
      </c>
      <c r="C10" s="9"/>
      <c r="D10" s="9"/>
    </row>
    <row r="11" spans="1:4" ht="30" customHeight="1" x14ac:dyDescent="0.2">
      <c r="A11" s="8" t="s">
        <v>29</v>
      </c>
      <c r="B11" s="8"/>
      <c r="C11" s="8"/>
      <c r="D11" s="8"/>
    </row>
  </sheetData>
  <mergeCells count="10">
    <mergeCell ref="C7:D7"/>
    <mergeCell ref="C8:D8"/>
    <mergeCell ref="C9:D9"/>
    <mergeCell ref="C10:D10"/>
    <mergeCell ref="A11:D11"/>
    <mergeCell ref="A1:D1"/>
    <mergeCell ref="C3:D3"/>
    <mergeCell ref="C4:D4"/>
    <mergeCell ref="C5:D5"/>
    <mergeCell ref="C6:D6"/>
  </mergeCell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2E75B6"/>
  </sheetPr>
  <dimension ref="A1:J54"/>
  <sheetViews>
    <sheetView showGridLines="0" tabSelected="1" topLeftCell="C1" zoomScaleNormal="100" workbookViewId="0">
      <pane ySplit="3" topLeftCell="A4" activePane="bottomLeft" state="frozen"/>
      <selection pane="bottomLeft" activeCell="G7" sqref="G7"/>
    </sheetView>
  </sheetViews>
  <sheetFormatPr baseColWidth="10" defaultColWidth="8.6640625" defaultRowHeight="15" x14ac:dyDescent="0.2"/>
  <cols>
    <col min="1" max="2" width="13" customWidth="1"/>
    <col min="3" max="3" width="26" customWidth="1"/>
    <col min="4" max="5" width="13" customWidth="1"/>
    <col min="6" max="6" width="14" customWidth="1"/>
    <col min="7" max="7" width="15" customWidth="1"/>
    <col min="8" max="8" width="17" customWidth="1"/>
    <col min="9" max="9" width="20" customWidth="1"/>
    <col min="10" max="10" width="13" hidden="1" customWidth="1"/>
  </cols>
  <sheetData>
    <row r="1" spans="1:10" ht="27.75" customHeight="1" x14ac:dyDescent="0.2">
      <c r="A1" s="10" t="s">
        <v>30</v>
      </c>
      <c r="B1" s="10"/>
      <c r="C1" s="10"/>
      <c r="D1" s="10"/>
      <c r="E1" s="10"/>
      <c r="F1" s="10"/>
      <c r="G1" s="10"/>
      <c r="H1" s="10"/>
      <c r="I1" s="10"/>
    </row>
    <row r="3" spans="1:10" ht="30" customHeight="1" x14ac:dyDescent="0.2">
      <c r="A3" s="19" t="s">
        <v>31</v>
      </c>
      <c r="B3" s="19" t="s">
        <v>32</v>
      </c>
      <c r="C3" s="19" t="s">
        <v>33</v>
      </c>
      <c r="D3" s="19" t="s">
        <v>34</v>
      </c>
      <c r="E3" s="19" t="s">
        <v>35</v>
      </c>
      <c r="F3" s="19" t="s">
        <v>36</v>
      </c>
      <c r="G3" s="19" t="s">
        <v>37</v>
      </c>
      <c r="H3" s="19" t="s">
        <v>38</v>
      </c>
      <c r="I3" s="19" t="s">
        <v>39</v>
      </c>
    </row>
    <row r="4" spans="1:10" ht="15" customHeight="1" x14ac:dyDescent="0.2">
      <c r="A4" s="20">
        <v>45660</v>
      </c>
      <c r="B4" s="21" t="s">
        <v>40</v>
      </c>
      <c r="C4" s="21" t="s">
        <v>41</v>
      </c>
      <c r="D4" s="22"/>
      <c r="E4" s="22">
        <v>1500</v>
      </c>
      <c r="F4" s="23">
        <f t="shared" ref="F4:F35" si="0">IF(AND(D4="",E4=""),"",N(E4)-N(D4))</f>
        <v>1500</v>
      </c>
      <c r="G4" s="23">
        <f>'⚙️ Paramètres'!$B$8+IF(F4="",0,F4)</f>
        <v>11500</v>
      </c>
      <c r="H4" s="24" t="str" cm="1">
        <f t="array" ref="H4">IF(OR($A4="",$F4=""),"",IF(SUMPRODUCT(('📒 Comptabilité'!$F$4:$F$53=$F4)*('📒 Comptabilité'!$A$4:$A$53&lt;&gt;"")*(ABS('📒 Comptabilité'!$A$4:$A$53-$A4)&lt;='⚙️ Paramètres'!$B$10))&gt;=SUMPRODUCT(($F$4:$F4=$F4)*($A$4:$A4&lt;&gt;"")*(ABS($A$4:$A4-$A4)&lt;='⚙️ Paramètres'!$B$10)),"✔ Rapproché","✘ Non rapproché"))</f>
        <v>✔ Rapproché</v>
      </c>
      <c r="I4" s="21"/>
      <c r="J4" s="25" t="str">
        <f>IF($H4="✘ Non rapproché",COUNTIF($H$4:$H4,"✘ Non rapproché"),"")</f>
        <v/>
      </c>
    </row>
    <row r="5" spans="1:10" ht="15" customHeight="1" x14ac:dyDescent="0.2">
      <c r="A5" s="26">
        <v>45670</v>
      </c>
      <c r="B5" s="27" t="s">
        <v>42</v>
      </c>
      <c r="C5" s="27" t="s">
        <v>43</v>
      </c>
      <c r="D5" s="28">
        <v>850</v>
      </c>
      <c r="E5" s="28"/>
      <c r="F5" s="29">
        <f t="shared" si="0"/>
        <v>-850</v>
      </c>
      <c r="G5" s="29">
        <f t="shared" ref="G5:G36" si="1">IF(F5="",G4,G4+F5)</f>
        <v>10650</v>
      </c>
      <c r="H5" s="30" t="str">
        <f>IF(OR($A5="",$F5=""),"",IF(SUMPRODUCT(('📒 Comptabilité'!$F$4:$F$53=$F5)*('📒 Comptabilité'!$A$4:$A$53&lt;&gt;"")*(ABS('📒 Comptabilité'!$A$4:$A$53-$A5)&lt;='⚙️ Paramètres'!$B$10))&gt;=SUMPRODUCT(($F$4:$F5=$F5)*($A$4:$A5&lt;&gt;"")*(ABS($A$4:$A5-$A5)&lt;='⚙️ Paramètres'!$B$10)),"✔ Rapproché","✘ Non rapproché"))</f>
        <v>✔ Rapproché</v>
      </c>
      <c r="I5" s="27"/>
      <c r="J5" s="25" t="str">
        <f>IF($H5="✘ Non rapproché",COUNTIF($H$4:$H5,"✘ Non rapproché"),"")</f>
        <v/>
      </c>
    </row>
    <row r="6" spans="1:10" ht="15" customHeight="1" x14ac:dyDescent="0.2">
      <c r="A6" s="20">
        <v>45663</v>
      </c>
      <c r="B6" s="21" t="s">
        <v>44</v>
      </c>
      <c r="C6" s="21" t="s">
        <v>45</v>
      </c>
      <c r="D6" s="22">
        <v>1200</v>
      </c>
      <c r="E6" s="22"/>
      <c r="F6" s="23">
        <f t="shared" si="0"/>
        <v>-1200</v>
      </c>
      <c r="G6" s="23">
        <f t="shared" si="1"/>
        <v>9450</v>
      </c>
      <c r="H6" s="24" t="str">
        <f>IF(OR($A6="",$F6=""),"",IF(SUMPRODUCT(('📒 Comptabilité'!$F$4:$F$53=$F6)*('📒 Comptabilité'!$A$4:$A$53&lt;&gt;"")*(ABS('📒 Comptabilité'!$A$4:$A$53-$A6)&lt;='⚙️ Paramètres'!$B$10))&gt;=SUMPRODUCT(($F$4:$F6=$F6)*($A$4:$A6&lt;&gt;"")*(ABS($A$4:$A6-$A6)&lt;='⚙️ Paramètres'!$B$10)),"✔ Rapproché","✘ Non rapproché"))</f>
        <v>✔ Rapproché</v>
      </c>
      <c r="I6" s="21"/>
      <c r="J6" s="25" t="str">
        <f>IF($H6="✘ Non rapproché",COUNTIF($H$4:$H6,"✘ Non rapproché"),"")</f>
        <v/>
      </c>
    </row>
    <row r="7" spans="1:10" ht="15" customHeight="1" x14ac:dyDescent="0.2">
      <c r="A7" s="26">
        <v>45667</v>
      </c>
      <c r="B7" s="27" t="s">
        <v>46</v>
      </c>
      <c r="C7" s="27" t="s">
        <v>47</v>
      </c>
      <c r="D7" s="28"/>
      <c r="E7" s="28">
        <v>2300.5</v>
      </c>
      <c r="F7" s="29">
        <f t="shared" si="0"/>
        <v>2300.5</v>
      </c>
      <c r="G7" s="29">
        <f t="shared" si="1"/>
        <v>11750.5</v>
      </c>
      <c r="H7" s="30" t="str">
        <f>IF(OR($A7="",$F7=""),"",IF(SUMPRODUCT(('📒 Comptabilité'!$F$4:$F$53=$F7)*('📒 Comptabilité'!$A$4:$A$53&lt;&gt;"")*(ABS('📒 Comptabilité'!$A$4:$A$53-$A7)&lt;='⚙️ Paramètres'!$B$10))&gt;=SUMPRODUCT(($F$4:$F7=$F7)*($A$4:$A7&lt;&gt;"")*(ABS($A$4:$A7-$A7)&lt;='⚙️ Paramètres'!$B$10)),"✔ Rapproché","✘ Non rapproché"))</f>
        <v>✔ Rapproché</v>
      </c>
      <c r="I7" s="27"/>
      <c r="J7" s="25" t="str">
        <f>IF($H7="✘ Non rapproché",COUNTIF($H$4:$H7,"✘ Non rapproché"),"")</f>
        <v/>
      </c>
    </row>
    <row r="8" spans="1:10" ht="15" customHeight="1" x14ac:dyDescent="0.2">
      <c r="A8" s="20">
        <v>45695</v>
      </c>
      <c r="B8" s="21" t="s">
        <v>48</v>
      </c>
      <c r="C8" s="21" t="s">
        <v>49</v>
      </c>
      <c r="D8" s="22">
        <v>640</v>
      </c>
      <c r="E8" s="22"/>
      <c r="F8" s="23">
        <f t="shared" si="0"/>
        <v>-640</v>
      </c>
      <c r="G8" s="23">
        <f t="shared" si="1"/>
        <v>11110.5</v>
      </c>
      <c r="H8" s="24" t="str">
        <f>IF(OR($A8="",$F8=""),"",IF(SUMPRODUCT(('📒 Comptabilité'!$F$4:$F$53=$F8)*('📒 Comptabilité'!$A$4:$A$53&lt;&gt;"")*(ABS('📒 Comptabilité'!$A$4:$A$53-$A8)&lt;='⚙️ Paramètres'!$B$10))&gt;=SUMPRODUCT(($F$4:$F8=$F8)*($A$4:$A8&lt;&gt;"")*(ABS($A$4:$A8-$A8)&lt;='⚙️ Paramètres'!$B$10)),"✔ Rapproché","✘ Non rapproché"))</f>
        <v>✘ Non rapproché</v>
      </c>
      <c r="I8" s="21"/>
      <c r="J8" s="25">
        <f>IF($H8="✘ Non rapproché",COUNTIF($H$4:$H8,"✘ Non rapproché"),"")</f>
        <v>1</v>
      </c>
    </row>
    <row r="9" spans="1:10" ht="15" customHeight="1" x14ac:dyDescent="0.2">
      <c r="A9" s="26">
        <v>45669</v>
      </c>
      <c r="B9" s="27" t="s">
        <v>50</v>
      </c>
      <c r="C9" s="27" t="s">
        <v>51</v>
      </c>
      <c r="D9" s="28">
        <v>2100</v>
      </c>
      <c r="E9" s="28"/>
      <c r="F9" s="29">
        <f t="shared" si="0"/>
        <v>-2100</v>
      </c>
      <c r="G9" s="29">
        <f t="shared" si="1"/>
        <v>9010.5</v>
      </c>
      <c r="H9" s="30" t="str">
        <f>IF(OR($A9="",$F9=""),"",IF(SUMPRODUCT(('📒 Comptabilité'!$F$4:$F$53=$F9)*('📒 Comptabilité'!$A$4:$A$53&lt;&gt;"")*(ABS('📒 Comptabilité'!$A$4:$A$53-$A9)&lt;='⚙️ Paramètres'!$B$10))&gt;=SUMPRODUCT(($F$4:$F9=$F9)*($A$4:$A9&lt;&gt;"")*(ABS($A$4:$A9-$A9)&lt;='⚙️ Paramètres'!$B$10)),"✔ Rapproché","✘ Non rapproché"))</f>
        <v>✔ Rapproché</v>
      </c>
      <c r="I9" s="27"/>
      <c r="J9" s="25" t="str">
        <f>IF($H9="✘ Non rapproché",COUNTIF($H$4:$H9,"✘ Non rapproché"),"")</f>
        <v/>
      </c>
    </row>
    <row r="10" spans="1:10" ht="15" customHeight="1" x14ac:dyDescent="0.2">
      <c r="A10" s="20">
        <v>45689</v>
      </c>
      <c r="B10" s="21" t="s">
        <v>52</v>
      </c>
      <c r="C10" s="21" t="s">
        <v>53</v>
      </c>
      <c r="D10" s="22"/>
      <c r="E10" s="22">
        <v>980</v>
      </c>
      <c r="F10" s="23">
        <f t="shared" si="0"/>
        <v>980</v>
      </c>
      <c r="G10" s="23">
        <f t="shared" si="1"/>
        <v>9990.5</v>
      </c>
      <c r="H10" s="24" t="str">
        <f>IF(OR($A10="",$F10=""),"",IF(SUMPRODUCT(('📒 Comptabilité'!$F$4:$F$53=$F10)*('📒 Comptabilité'!$A$4:$A$53&lt;&gt;"")*(ABS('📒 Comptabilité'!$A$4:$A$53-$A10)&lt;='⚙️ Paramètres'!$B$10))&gt;=SUMPRODUCT(($F$4:$F10=$F10)*($A$4:$A10&lt;&gt;"")*(ABS($A$4:$A10-$A10)&lt;='⚙️ Paramètres'!$B$10)),"✔ Rapproché","✘ Non rapproché"))</f>
        <v>✔ Rapproché</v>
      </c>
      <c r="I10" s="21"/>
      <c r="J10" s="25" t="str">
        <f>IF($H10="✘ Non rapproché",COUNTIF($H$4:$H10,"✘ Non rapproché"),"")</f>
        <v/>
      </c>
    </row>
    <row r="11" spans="1:10" ht="15" customHeight="1" x14ac:dyDescent="0.2">
      <c r="A11" s="26">
        <v>45682</v>
      </c>
      <c r="B11" s="27" t="s">
        <v>54</v>
      </c>
      <c r="C11" s="27" t="s">
        <v>55</v>
      </c>
      <c r="D11" s="28">
        <v>420</v>
      </c>
      <c r="E11" s="28"/>
      <c r="F11" s="29">
        <f t="shared" si="0"/>
        <v>-420</v>
      </c>
      <c r="G11" s="29">
        <f t="shared" si="1"/>
        <v>9570.5</v>
      </c>
      <c r="H11" s="30" t="str">
        <f>IF(OR($A11="",$F11=""),"",IF(SUMPRODUCT(('📒 Comptabilité'!$F$4:$F$53=$F11)*('📒 Comptabilité'!$A$4:$A$53&lt;&gt;"")*(ABS('📒 Comptabilité'!$A$4:$A$53-$A11)&lt;='⚙️ Paramètres'!$B$10))&gt;=SUMPRODUCT(($F$4:$F11=$F11)*($A$4:$A11&lt;&gt;"")*(ABS($A$4:$A11-$A11)&lt;='⚙️ Paramètres'!$B$10)),"✔ Rapproché","✘ Non rapproché"))</f>
        <v>✔ Rapproché</v>
      </c>
      <c r="I11" s="27"/>
      <c r="J11" s="25" t="str">
        <f>IF($H11="✘ Non rapproché",COUNTIF($H$4:$H11,"✘ Non rapproché"),"")</f>
        <v/>
      </c>
    </row>
    <row r="12" spans="1:10" ht="15" customHeight="1" x14ac:dyDescent="0.2">
      <c r="A12" s="20">
        <v>45675</v>
      </c>
      <c r="B12" s="21" t="s">
        <v>56</v>
      </c>
      <c r="C12" s="21" t="s">
        <v>57</v>
      </c>
      <c r="D12" s="22">
        <v>62.3</v>
      </c>
      <c r="E12" s="22"/>
      <c r="F12" s="23">
        <f t="shared" si="0"/>
        <v>-62.3</v>
      </c>
      <c r="G12" s="23">
        <f t="shared" si="1"/>
        <v>9508.2000000000007</v>
      </c>
      <c r="H12" s="24" t="str">
        <f>IF(OR($A12="",$F12=""),"",IF(SUMPRODUCT(('📒 Comptabilité'!$F$4:$F$53=$F12)*('📒 Comptabilité'!$A$4:$A$53&lt;&gt;"")*(ABS('📒 Comptabilité'!$A$4:$A$53-$A12)&lt;='⚙️ Paramètres'!$B$10))&gt;=SUMPRODUCT(($F$4:$F12=$F12)*($A$4:$A12&lt;&gt;"")*(ABS($A$4:$A12-$A12)&lt;='⚙️ Paramètres'!$B$10)),"✔ Rapproché","✘ Non rapproché"))</f>
        <v>✘ Non rapproché</v>
      </c>
      <c r="I12" s="21"/>
      <c r="J12" s="25">
        <f>IF($H12="✘ Non rapproché",COUNTIF($H$4:$H12,"✘ Non rapproché"),"")</f>
        <v>2</v>
      </c>
    </row>
    <row r="13" spans="1:10" ht="15" customHeight="1" x14ac:dyDescent="0.2">
      <c r="A13" s="26">
        <v>45687</v>
      </c>
      <c r="B13" s="27" t="s">
        <v>58</v>
      </c>
      <c r="C13" s="27" t="s">
        <v>59</v>
      </c>
      <c r="D13" s="28"/>
      <c r="E13" s="28">
        <v>18.75</v>
      </c>
      <c r="F13" s="29">
        <f t="shared" si="0"/>
        <v>18.75</v>
      </c>
      <c r="G13" s="29">
        <f t="shared" si="1"/>
        <v>9526.9500000000007</v>
      </c>
      <c r="H13" s="30" t="str">
        <f>IF(OR($A13="",$F13=""),"",IF(SUMPRODUCT(('📒 Comptabilité'!$F$4:$F$53=$F13)*('📒 Comptabilité'!$A$4:$A$53&lt;&gt;"")*(ABS('📒 Comptabilité'!$A$4:$A$53-$A13)&lt;='⚙️ Paramètres'!$B$10))&gt;=SUMPRODUCT(($F$4:$F13=$F13)*($A$4:$A13&lt;&gt;"")*(ABS($A$4:$A13-$A13)&lt;='⚙️ Paramètres'!$B$10)),"✔ Rapproché","✘ Non rapproché"))</f>
        <v>✘ Non rapproché</v>
      </c>
      <c r="I13" s="27"/>
      <c r="J13" s="25">
        <f>IF($H13="✘ Non rapproché",COUNTIF($H$4:$H13,"✘ Non rapproché"),"")</f>
        <v>3</v>
      </c>
    </row>
    <row r="14" spans="1:10" ht="15" customHeight="1" x14ac:dyDescent="0.2">
      <c r="A14" s="20"/>
      <c r="B14" s="21"/>
      <c r="C14" s="21"/>
      <c r="D14" s="22"/>
      <c r="E14" s="22"/>
      <c r="F14" s="23" t="str">
        <f t="shared" si="0"/>
        <v/>
      </c>
      <c r="G14" s="23">
        <f t="shared" si="1"/>
        <v>9526.9500000000007</v>
      </c>
      <c r="H14" s="24" t="str">
        <f>IF(OR($A14="",$F14=""),"",IF(SUMPRODUCT(('📒 Comptabilité'!$F$4:$F$53=$F14)*('📒 Comptabilité'!$A$4:$A$53&lt;&gt;"")*(ABS('📒 Comptabilité'!$A$4:$A$53-$A14)&lt;='⚙️ Paramètres'!$B$10))&gt;=SUMPRODUCT(($F$4:$F14=$F14)*($A$4:$A14&lt;&gt;"")*(ABS($A$4:$A14-$A14)&lt;='⚙️ Paramètres'!$B$10)),"✔ Rapproché","✘ Non rapproché"))</f>
        <v/>
      </c>
      <c r="I14" s="21"/>
      <c r="J14" s="25" t="str">
        <f>IF($H14="✘ Non rapproché",COUNTIF($H$4:$H14,"✘ Non rapproché"),"")</f>
        <v/>
      </c>
    </row>
    <row r="15" spans="1:10" ht="15" customHeight="1" x14ac:dyDescent="0.2">
      <c r="A15" s="26"/>
      <c r="B15" s="27"/>
      <c r="C15" s="27"/>
      <c r="D15" s="28"/>
      <c r="E15" s="28"/>
      <c r="F15" s="29" t="str">
        <f t="shared" si="0"/>
        <v/>
      </c>
      <c r="G15" s="29">
        <f t="shared" si="1"/>
        <v>9526.9500000000007</v>
      </c>
      <c r="H15" s="30" t="str">
        <f>IF(OR($A15="",$F15=""),"",IF(SUMPRODUCT(('📒 Comptabilité'!$F$4:$F$53=$F15)*('📒 Comptabilité'!$A$4:$A$53&lt;&gt;"")*(ABS('📒 Comptabilité'!$A$4:$A$53-$A15)&lt;='⚙️ Paramètres'!$B$10))&gt;=SUMPRODUCT(($F$4:$F15=$F15)*($A$4:$A15&lt;&gt;"")*(ABS($A$4:$A15-$A15)&lt;='⚙️ Paramètres'!$B$10)),"✔ Rapproché","✘ Non rapproché"))</f>
        <v/>
      </c>
      <c r="I15" s="27"/>
      <c r="J15" s="25" t="str">
        <f>IF($H15="✘ Non rapproché",COUNTIF($H$4:$H15,"✘ Non rapproché"),"")</f>
        <v/>
      </c>
    </row>
    <row r="16" spans="1:10" ht="15" customHeight="1" x14ac:dyDescent="0.2">
      <c r="A16" s="20"/>
      <c r="B16" s="21"/>
      <c r="C16" s="21"/>
      <c r="D16" s="22"/>
      <c r="E16" s="22"/>
      <c r="F16" s="23" t="str">
        <f t="shared" si="0"/>
        <v/>
      </c>
      <c r="G16" s="23">
        <f t="shared" si="1"/>
        <v>9526.9500000000007</v>
      </c>
      <c r="H16" s="24" t="str">
        <f>IF(OR($A16="",$F16=""),"",IF(SUMPRODUCT(('📒 Comptabilité'!$F$4:$F$53=$F16)*('📒 Comptabilité'!$A$4:$A$53&lt;&gt;"")*(ABS('📒 Comptabilité'!$A$4:$A$53-$A16)&lt;='⚙️ Paramètres'!$B$10))&gt;=SUMPRODUCT(($F$4:$F16=$F16)*($A$4:$A16&lt;&gt;"")*(ABS($A$4:$A16-$A16)&lt;='⚙️ Paramètres'!$B$10)),"✔ Rapproché","✘ Non rapproché"))</f>
        <v/>
      </c>
      <c r="I16" s="21"/>
      <c r="J16" s="25" t="str">
        <f>IF($H16="✘ Non rapproché",COUNTIF($H$4:$H16,"✘ Non rapproché"),"")</f>
        <v/>
      </c>
    </row>
    <row r="17" spans="1:10" ht="15" customHeight="1" x14ac:dyDescent="0.2">
      <c r="A17" s="26"/>
      <c r="B17" s="27"/>
      <c r="C17" s="27"/>
      <c r="D17" s="28"/>
      <c r="E17" s="28"/>
      <c r="F17" s="29" t="str">
        <f t="shared" si="0"/>
        <v/>
      </c>
      <c r="G17" s="29">
        <f t="shared" si="1"/>
        <v>9526.9500000000007</v>
      </c>
      <c r="H17" s="30" t="str">
        <f>IF(OR($A17="",$F17=""),"",IF(SUMPRODUCT(('📒 Comptabilité'!$F$4:$F$53=$F17)*('📒 Comptabilité'!$A$4:$A$53&lt;&gt;"")*(ABS('📒 Comptabilité'!$A$4:$A$53-$A17)&lt;='⚙️ Paramètres'!$B$10))&gt;=SUMPRODUCT(($F$4:$F17=$F17)*($A$4:$A17&lt;&gt;"")*(ABS($A$4:$A17-$A17)&lt;='⚙️ Paramètres'!$B$10)),"✔ Rapproché","✘ Non rapproché"))</f>
        <v/>
      </c>
      <c r="I17" s="27"/>
      <c r="J17" s="25" t="str">
        <f>IF($H17="✘ Non rapproché",COUNTIF($H$4:$H17,"✘ Non rapproché"),"")</f>
        <v/>
      </c>
    </row>
    <row r="18" spans="1:10" ht="15" customHeight="1" x14ac:dyDescent="0.2">
      <c r="A18" s="20"/>
      <c r="B18" s="21"/>
      <c r="C18" s="21"/>
      <c r="D18" s="22"/>
      <c r="E18" s="22"/>
      <c r="F18" s="23" t="str">
        <f t="shared" si="0"/>
        <v/>
      </c>
      <c r="G18" s="23">
        <f t="shared" si="1"/>
        <v>9526.9500000000007</v>
      </c>
      <c r="H18" s="24" t="str">
        <f>IF(OR($A18="",$F18=""),"",IF(SUMPRODUCT(('📒 Comptabilité'!$F$4:$F$53=$F18)*('📒 Comptabilité'!$A$4:$A$53&lt;&gt;"")*(ABS('📒 Comptabilité'!$A$4:$A$53-$A18)&lt;='⚙️ Paramètres'!$B$10))&gt;=SUMPRODUCT(($F$4:$F18=$F18)*($A$4:$A18&lt;&gt;"")*(ABS($A$4:$A18-$A18)&lt;='⚙️ Paramètres'!$B$10)),"✔ Rapproché","✘ Non rapproché"))</f>
        <v/>
      </c>
      <c r="I18" s="21"/>
      <c r="J18" s="25" t="str">
        <f>IF($H18="✘ Non rapproché",COUNTIF($H$4:$H18,"✘ Non rapproché"),"")</f>
        <v/>
      </c>
    </row>
    <row r="19" spans="1:10" ht="15" customHeight="1" x14ac:dyDescent="0.2">
      <c r="A19" s="26"/>
      <c r="B19" s="27"/>
      <c r="C19" s="27"/>
      <c r="D19" s="28"/>
      <c r="E19" s="28"/>
      <c r="F19" s="29" t="str">
        <f t="shared" si="0"/>
        <v/>
      </c>
      <c r="G19" s="29">
        <f t="shared" si="1"/>
        <v>9526.9500000000007</v>
      </c>
      <c r="H19" s="30" t="str">
        <f>IF(OR($A19="",$F19=""),"",IF(SUMPRODUCT(('📒 Comptabilité'!$F$4:$F$53=$F19)*('📒 Comptabilité'!$A$4:$A$53&lt;&gt;"")*(ABS('📒 Comptabilité'!$A$4:$A$53-$A19)&lt;='⚙️ Paramètres'!$B$10))&gt;=SUMPRODUCT(($F$4:$F19=$F19)*($A$4:$A19&lt;&gt;"")*(ABS($A$4:$A19-$A19)&lt;='⚙️ Paramètres'!$B$10)),"✔ Rapproché","✘ Non rapproché"))</f>
        <v/>
      </c>
      <c r="I19" s="27"/>
      <c r="J19" s="25" t="str">
        <f>IF($H19="✘ Non rapproché",COUNTIF($H$4:$H19,"✘ Non rapproché"),"")</f>
        <v/>
      </c>
    </row>
    <row r="20" spans="1:10" ht="15" customHeight="1" x14ac:dyDescent="0.2">
      <c r="A20" s="20"/>
      <c r="B20" s="21"/>
      <c r="C20" s="21"/>
      <c r="D20" s="22"/>
      <c r="E20" s="22"/>
      <c r="F20" s="23" t="str">
        <f t="shared" si="0"/>
        <v/>
      </c>
      <c r="G20" s="23">
        <f t="shared" si="1"/>
        <v>9526.9500000000007</v>
      </c>
      <c r="H20" s="24" t="str">
        <f>IF(OR($A20="",$F20=""),"",IF(SUMPRODUCT(('📒 Comptabilité'!$F$4:$F$53=$F20)*('📒 Comptabilité'!$A$4:$A$53&lt;&gt;"")*(ABS('📒 Comptabilité'!$A$4:$A$53-$A20)&lt;='⚙️ Paramètres'!$B$10))&gt;=SUMPRODUCT(($F$4:$F20=$F20)*($A$4:$A20&lt;&gt;"")*(ABS($A$4:$A20-$A20)&lt;='⚙️ Paramètres'!$B$10)),"✔ Rapproché","✘ Non rapproché"))</f>
        <v/>
      </c>
      <c r="I20" s="21"/>
      <c r="J20" s="25" t="str">
        <f>IF($H20="✘ Non rapproché",COUNTIF($H$4:$H20,"✘ Non rapproché"),"")</f>
        <v/>
      </c>
    </row>
    <row r="21" spans="1:10" ht="15" customHeight="1" x14ac:dyDescent="0.2">
      <c r="A21" s="26"/>
      <c r="B21" s="27"/>
      <c r="C21" s="27"/>
      <c r="D21" s="28"/>
      <c r="E21" s="28"/>
      <c r="F21" s="29" t="str">
        <f t="shared" si="0"/>
        <v/>
      </c>
      <c r="G21" s="29">
        <f t="shared" si="1"/>
        <v>9526.9500000000007</v>
      </c>
      <c r="H21" s="30" t="str">
        <f>IF(OR($A21="",$F21=""),"",IF(SUMPRODUCT(('📒 Comptabilité'!$F$4:$F$53=$F21)*('📒 Comptabilité'!$A$4:$A$53&lt;&gt;"")*(ABS('📒 Comptabilité'!$A$4:$A$53-$A21)&lt;='⚙️ Paramètres'!$B$10))&gt;=SUMPRODUCT(($F$4:$F21=$F21)*($A$4:$A21&lt;&gt;"")*(ABS($A$4:$A21-$A21)&lt;='⚙️ Paramètres'!$B$10)),"✔ Rapproché","✘ Non rapproché"))</f>
        <v/>
      </c>
      <c r="I21" s="27"/>
      <c r="J21" s="25" t="str">
        <f>IF($H21="✘ Non rapproché",COUNTIF($H$4:$H21,"✘ Non rapproché"),"")</f>
        <v/>
      </c>
    </row>
    <row r="22" spans="1:10" ht="15" customHeight="1" x14ac:dyDescent="0.2">
      <c r="A22" s="20"/>
      <c r="B22" s="21"/>
      <c r="C22" s="21"/>
      <c r="D22" s="22"/>
      <c r="E22" s="22"/>
      <c r="F22" s="23" t="str">
        <f t="shared" si="0"/>
        <v/>
      </c>
      <c r="G22" s="23">
        <f t="shared" si="1"/>
        <v>9526.9500000000007</v>
      </c>
      <c r="H22" s="24" t="str">
        <f>IF(OR($A22="",$F22=""),"",IF(SUMPRODUCT(('📒 Comptabilité'!$F$4:$F$53=$F22)*('📒 Comptabilité'!$A$4:$A$53&lt;&gt;"")*(ABS('📒 Comptabilité'!$A$4:$A$53-$A22)&lt;='⚙️ Paramètres'!$B$10))&gt;=SUMPRODUCT(($F$4:$F22=$F22)*($A$4:$A22&lt;&gt;"")*(ABS($A$4:$A22-$A22)&lt;='⚙️ Paramètres'!$B$10)),"✔ Rapproché","✘ Non rapproché"))</f>
        <v/>
      </c>
      <c r="I22" s="21"/>
      <c r="J22" s="25" t="str">
        <f>IF($H22="✘ Non rapproché",COUNTIF($H$4:$H22,"✘ Non rapproché"),"")</f>
        <v/>
      </c>
    </row>
    <row r="23" spans="1:10" ht="15" customHeight="1" x14ac:dyDescent="0.2">
      <c r="A23" s="26"/>
      <c r="B23" s="27"/>
      <c r="C23" s="27"/>
      <c r="D23" s="28"/>
      <c r="E23" s="28"/>
      <c r="F23" s="29" t="str">
        <f t="shared" si="0"/>
        <v/>
      </c>
      <c r="G23" s="29">
        <f t="shared" si="1"/>
        <v>9526.9500000000007</v>
      </c>
      <c r="H23" s="30" t="str">
        <f>IF(OR($A23="",$F23=""),"",IF(SUMPRODUCT(('📒 Comptabilité'!$F$4:$F$53=$F23)*('📒 Comptabilité'!$A$4:$A$53&lt;&gt;"")*(ABS('📒 Comptabilité'!$A$4:$A$53-$A23)&lt;='⚙️ Paramètres'!$B$10))&gt;=SUMPRODUCT(($F$4:$F23=$F23)*($A$4:$A23&lt;&gt;"")*(ABS($A$4:$A23-$A23)&lt;='⚙️ Paramètres'!$B$10)),"✔ Rapproché","✘ Non rapproché"))</f>
        <v/>
      </c>
      <c r="I23" s="27"/>
      <c r="J23" s="25" t="str">
        <f>IF($H23="✘ Non rapproché",COUNTIF($H$4:$H23,"✘ Non rapproché"),"")</f>
        <v/>
      </c>
    </row>
    <row r="24" spans="1:10" ht="15" customHeight="1" x14ac:dyDescent="0.2">
      <c r="A24" s="20"/>
      <c r="B24" s="21"/>
      <c r="C24" s="21"/>
      <c r="D24" s="22"/>
      <c r="E24" s="22"/>
      <c r="F24" s="23" t="str">
        <f t="shared" si="0"/>
        <v/>
      </c>
      <c r="G24" s="23">
        <f t="shared" si="1"/>
        <v>9526.9500000000007</v>
      </c>
      <c r="H24" s="24" t="str">
        <f>IF(OR($A24="",$F24=""),"",IF(SUMPRODUCT(('📒 Comptabilité'!$F$4:$F$53=$F24)*('📒 Comptabilité'!$A$4:$A$53&lt;&gt;"")*(ABS('📒 Comptabilité'!$A$4:$A$53-$A24)&lt;='⚙️ Paramètres'!$B$10))&gt;=SUMPRODUCT(($F$4:$F24=$F24)*($A$4:$A24&lt;&gt;"")*(ABS($A$4:$A24-$A24)&lt;='⚙️ Paramètres'!$B$10)),"✔ Rapproché","✘ Non rapproché"))</f>
        <v/>
      </c>
      <c r="I24" s="21"/>
      <c r="J24" s="25" t="str">
        <f>IF($H24="✘ Non rapproché",COUNTIF($H$4:$H24,"✘ Non rapproché"),"")</f>
        <v/>
      </c>
    </row>
    <row r="25" spans="1:10" ht="15" customHeight="1" x14ac:dyDescent="0.2">
      <c r="A25" s="26"/>
      <c r="B25" s="27"/>
      <c r="C25" s="27"/>
      <c r="D25" s="28"/>
      <c r="E25" s="28"/>
      <c r="F25" s="29" t="str">
        <f t="shared" si="0"/>
        <v/>
      </c>
      <c r="G25" s="29">
        <f t="shared" si="1"/>
        <v>9526.9500000000007</v>
      </c>
      <c r="H25" s="30" t="str">
        <f>IF(OR($A25="",$F25=""),"",IF(SUMPRODUCT(('📒 Comptabilité'!$F$4:$F$53=$F25)*('📒 Comptabilité'!$A$4:$A$53&lt;&gt;"")*(ABS('📒 Comptabilité'!$A$4:$A$53-$A25)&lt;='⚙️ Paramètres'!$B$10))&gt;=SUMPRODUCT(($F$4:$F25=$F25)*($A$4:$A25&lt;&gt;"")*(ABS($A$4:$A25-$A25)&lt;='⚙️ Paramètres'!$B$10)),"✔ Rapproché","✘ Non rapproché"))</f>
        <v/>
      </c>
      <c r="I25" s="27"/>
      <c r="J25" s="25" t="str">
        <f>IF($H25="✘ Non rapproché",COUNTIF($H$4:$H25,"✘ Non rapproché"),"")</f>
        <v/>
      </c>
    </row>
    <row r="26" spans="1:10" ht="15" customHeight="1" x14ac:dyDescent="0.2">
      <c r="A26" s="20"/>
      <c r="B26" s="21"/>
      <c r="C26" s="21"/>
      <c r="D26" s="22"/>
      <c r="E26" s="22"/>
      <c r="F26" s="23" t="str">
        <f t="shared" si="0"/>
        <v/>
      </c>
      <c r="G26" s="23">
        <f t="shared" si="1"/>
        <v>9526.9500000000007</v>
      </c>
      <c r="H26" s="24" t="str">
        <f>IF(OR($A26="",$F26=""),"",IF(SUMPRODUCT(('📒 Comptabilité'!$F$4:$F$53=$F26)*('📒 Comptabilité'!$A$4:$A$53&lt;&gt;"")*(ABS('📒 Comptabilité'!$A$4:$A$53-$A26)&lt;='⚙️ Paramètres'!$B$10))&gt;=SUMPRODUCT(($F$4:$F26=$F26)*($A$4:$A26&lt;&gt;"")*(ABS($A$4:$A26-$A26)&lt;='⚙️ Paramètres'!$B$10)),"✔ Rapproché","✘ Non rapproché"))</f>
        <v/>
      </c>
      <c r="I26" s="21"/>
      <c r="J26" s="25" t="str">
        <f>IF($H26="✘ Non rapproché",COUNTIF($H$4:$H26,"✘ Non rapproché"),"")</f>
        <v/>
      </c>
    </row>
    <row r="27" spans="1:10" ht="15" customHeight="1" x14ac:dyDescent="0.2">
      <c r="A27" s="26"/>
      <c r="B27" s="27"/>
      <c r="C27" s="27"/>
      <c r="D27" s="28"/>
      <c r="E27" s="28"/>
      <c r="F27" s="29" t="str">
        <f t="shared" si="0"/>
        <v/>
      </c>
      <c r="G27" s="29">
        <f t="shared" si="1"/>
        <v>9526.9500000000007</v>
      </c>
      <c r="H27" s="30" t="str">
        <f>IF(OR($A27="",$F27=""),"",IF(SUMPRODUCT(('📒 Comptabilité'!$F$4:$F$53=$F27)*('📒 Comptabilité'!$A$4:$A$53&lt;&gt;"")*(ABS('📒 Comptabilité'!$A$4:$A$53-$A27)&lt;='⚙️ Paramètres'!$B$10))&gt;=SUMPRODUCT(($F$4:$F27=$F27)*($A$4:$A27&lt;&gt;"")*(ABS($A$4:$A27-$A27)&lt;='⚙️ Paramètres'!$B$10)),"✔ Rapproché","✘ Non rapproché"))</f>
        <v/>
      </c>
      <c r="I27" s="27"/>
      <c r="J27" s="25" t="str">
        <f>IF($H27="✘ Non rapproché",COUNTIF($H$4:$H27,"✘ Non rapproché"),"")</f>
        <v/>
      </c>
    </row>
    <row r="28" spans="1:10" ht="15" customHeight="1" x14ac:dyDescent="0.2">
      <c r="A28" s="20"/>
      <c r="B28" s="21"/>
      <c r="C28" s="21"/>
      <c r="D28" s="22"/>
      <c r="E28" s="22"/>
      <c r="F28" s="23" t="str">
        <f t="shared" si="0"/>
        <v/>
      </c>
      <c r="G28" s="23">
        <f t="shared" si="1"/>
        <v>9526.9500000000007</v>
      </c>
      <c r="H28" s="24" t="str">
        <f>IF(OR($A28="",$F28=""),"",IF(SUMPRODUCT(('📒 Comptabilité'!$F$4:$F$53=$F28)*('📒 Comptabilité'!$A$4:$A$53&lt;&gt;"")*(ABS('📒 Comptabilité'!$A$4:$A$53-$A28)&lt;='⚙️ Paramètres'!$B$10))&gt;=SUMPRODUCT(($F$4:$F28=$F28)*($A$4:$A28&lt;&gt;"")*(ABS($A$4:$A28-$A28)&lt;='⚙️ Paramètres'!$B$10)),"✔ Rapproché","✘ Non rapproché"))</f>
        <v/>
      </c>
      <c r="I28" s="21"/>
      <c r="J28" s="25" t="str">
        <f>IF($H28="✘ Non rapproché",COUNTIF($H$4:$H28,"✘ Non rapproché"),"")</f>
        <v/>
      </c>
    </row>
    <row r="29" spans="1:10" ht="15" customHeight="1" x14ac:dyDescent="0.2">
      <c r="A29" s="26"/>
      <c r="B29" s="27"/>
      <c r="C29" s="27"/>
      <c r="D29" s="28"/>
      <c r="E29" s="28"/>
      <c r="F29" s="29" t="str">
        <f t="shared" si="0"/>
        <v/>
      </c>
      <c r="G29" s="29">
        <f t="shared" si="1"/>
        <v>9526.9500000000007</v>
      </c>
      <c r="H29" s="30" t="str">
        <f>IF(OR($A29="",$F29=""),"",IF(SUMPRODUCT(('📒 Comptabilité'!$F$4:$F$53=$F29)*('📒 Comptabilité'!$A$4:$A$53&lt;&gt;"")*(ABS('📒 Comptabilité'!$A$4:$A$53-$A29)&lt;='⚙️ Paramètres'!$B$10))&gt;=SUMPRODUCT(($F$4:$F29=$F29)*($A$4:$A29&lt;&gt;"")*(ABS($A$4:$A29-$A29)&lt;='⚙️ Paramètres'!$B$10)),"✔ Rapproché","✘ Non rapproché"))</f>
        <v/>
      </c>
      <c r="I29" s="27"/>
      <c r="J29" s="25" t="str">
        <f>IF($H29="✘ Non rapproché",COUNTIF($H$4:$H29,"✘ Non rapproché"),"")</f>
        <v/>
      </c>
    </row>
    <row r="30" spans="1:10" ht="15" customHeight="1" x14ac:dyDescent="0.2">
      <c r="A30" s="20"/>
      <c r="B30" s="21"/>
      <c r="C30" s="21"/>
      <c r="D30" s="22"/>
      <c r="E30" s="22"/>
      <c r="F30" s="23" t="str">
        <f t="shared" si="0"/>
        <v/>
      </c>
      <c r="G30" s="23">
        <f t="shared" si="1"/>
        <v>9526.9500000000007</v>
      </c>
      <c r="H30" s="24" t="str">
        <f>IF(OR($A30="",$F30=""),"",IF(SUMPRODUCT(('📒 Comptabilité'!$F$4:$F$53=$F30)*('📒 Comptabilité'!$A$4:$A$53&lt;&gt;"")*(ABS('📒 Comptabilité'!$A$4:$A$53-$A30)&lt;='⚙️ Paramètres'!$B$10))&gt;=SUMPRODUCT(($F$4:$F30=$F30)*($A$4:$A30&lt;&gt;"")*(ABS($A$4:$A30-$A30)&lt;='⚙️ Paramètres'!$B$10)),"✔ Rapproché","✘ Non rapproché"))</f>
        <v/>
      </c>
      <c r="I30" s="21"/>
      <c r="J30" s="25" t="str">
        <f>IF($H30="✘ Non rapproché",COUNTIF($H$4:$H30,"✘ Non rapproché"),"")</f>
        <v/>
      </c>
    </row>
    <row r="31" spans="1:10" ht="15" customHeight="1" x14ac:dyDescent="0.2">
      <c r="A31" s="26"/>
      <c r="B31" s="27"/>
      <c r="C31" s="27"/>
      <c r="D31" s="28"/>
      <c r="E31" s="28"/>
      <c r="F31" s="29" t="str">
        <f t="shared" si="0"/>
        <v/>
      </c>
      <c r="G31" s="29">
        <f t="shared" si="1"/>
        <v>9526.9500000000007</v>
      </c>
      <c r="H31" s="30" t="str">
        <f>IF(OR($A31="",$F31=""),"",IF(SUMPRODUCT(('📒 Comptabilité'!$F$4:$F$53=$F31)*('📒 Comptabilité'!$A$4:$A$53&lt;&gt;"")*(ABS('📒 Comptabilité'!$A$4:$A$53-$A31)&lt;='⚙️ Paramètres'!$B$10))&gt;=SUMPRODUCT(($F$4:$F31=$F31)*($A$4:$A31&lt;&gt;"")*(ABS($A$4:$A31-$A31)&lt;='⚙️ Paramètres'!$B$10)),"✔ Rapproché","✘ Non rapproché"))</f>
        <v/>
      </c>
      <c r="I31" s="27"/>
      <c r="J31" s="25" t="str">
        <f>IF($H31="✘ Non rapproché",COUNTIF($H$4:$H31,"✘ Non rapproché"),"")</f>
        <v/>
      </c>
    </row>
    <row r="32" spans="1:10" ht="15" customHeight="1" x14ac:dyDescent="0.2">
      <c r="A32" s="20"/>
      <c r="B32" s="21"/>
      <c r="C32" s="21"/>
      <c r="D32" s="22"/>
      <c r="E32" s="22"/>
      <c r="F32" s="23" t="str">
        <f t="shared" si="0"/>
        <v/>
      </c>
      <c r="G32" s="23">
        <f t="shared" si="1"/>
        <v>9526.9500000000007</v>
      </c>
      <c r="H32" s="24" t="str">
        <f>IF(OR($A32="",$F32=""),"",IF(SUMPRODUCT(('📒 Comptabilité'!$F$4:$F$53=$F32)*('📒 Comptabilité'!$A$4:$A$53&lt;&gt;"")*(ABS('📒 Comptabilité'!$A$4:$A$53-$A32)&lt;='⚙️ Paramètres'!$B$10))&gt;=SUMPRODUCT(($F$4:$F32=$F32)*($A$4:$A32&lt;&gt;"")*(ABS($A$4:$A32-$A32)&lt;='⚙️ Paramètres'!$B$10)),"✔ Rapproché","✘ Non rapproché"))</f>
        <v/>
      </c>
      <c r="I32" s="21"/>
      <c r="J32" s="25" t="str">
        <f>IF($H32="✘ Non rapproché",COUNTIF($H$4:$H32,"✘ Non rapproché"),"")</f>
        <v/>
      </c>
    </row>
    <row r="33" spans="1:10" ht="15" customHeight="1" x14ac:dyDescent="0.2">
      <c r="A33" s="26"/>
      <c r="B33" s="27"/>
      <c r="C33" s="27"/>
      <c r="D33" s="28"/>
      <c r="E33" s="28"/>
      <c r="F33" s="29" t="str">
        <f t="shared" si="0"/>
        <v/>
      </c>
      <c r="G33" s="29">
        <f t="shared" si="1"/>
        <v>9526.9500000000007</v>
      </c>
      <c r="H33" s="30" t="str">
        <f>IF(OR($A33="",$F33=""),"",IF(SUMPRODUCT(('📒 Comptabilité'!$F$4:$F$53=$F33)*('📒 Comptabilité'!$A$4:$A$53&lt;&gt;"")*(ABS('📒 Comptabilité'!$A$4:$A$53-$A33)&lt;='⚙️ Paramètres'!$B$10))&gt;=SUMPRODUCT(($F$4:$F33=$F33)*($A$4:$A33&lt;&gt;"")*(ABS($A$4:$A33-$A33)&lt;='⚙️ Paramètres'!$B$10)),"✔ Rapproché","✘ Non rapproché"))</f>
        <v/>
      </c>
      <c r="I33" s="27"/>
      <c r="J33" s="25" t="str">
        <f>IF($H33="✘ Non rapproché",COUNTIF($H$4:$H33,"✘ Non rapproché"),"")</f>
        <v/>
      </c>
    </row>
    <row r="34" spans="1:10" ht="15" customHeight="1" x14ac:dyDescent="0.2">
      <c r="A34" s="20"/>
      <c r="B34" s="21"/>
      <c r="C34" s="21"/>
      <c r="D34" s="22"/>
      <c r="E34" s="22"/>
      <c r="F34" s="23" t="str">
        <f t="shared" si="0"/>
        <v/>
      </c>
      <c r="G34" s="23">
        <f t="shared" si="1"/>
        <v>9526.9500000000007</v>
      </c>
      <c r="H34" s="24" t="str">
        <f>IF(OR($A34="",$F34=""),"",IF(SUMPRODUCT(('📒 Comptabilité'!$F$4:$F$53=$F34)*('📒 Comptabilité'!$A$4:$A$53&lt;&gt;"")*(ABS('📒 Comptabilité'!$A$4:$A$53-$A34)&lt;='⚙️ Paramètres'!$B$10))&gt;=SUMPRODUCT(($F$4:$F34=$F34)*($A$4:$A34&lt;&gt;"")*(ABS($A$4:$A34-$A34)&lt;='⚙️ Paramètres'!$B$10)),"✔ Rapproché","✘ Non rapproché"))</f>
        <v/>
      </c>
      <c r="I34" s="21"/>
      <c r="J34" s="25" t="str">
        <f>IF($H34="✘ Non rapproché",COUNTIF($H$4:$H34,"✘ Non rapproché"),"")</f>
        <v/>
      </c>
    </row>
    <row r="35" spans="1:10" ht="15" customHeight="1" x14ac:dyDescent="0.2">
      <c r="A35" s="26"/>
      <c r="B35" s="27"/>
      <c r="C35" s="27"/>
      <c r="D35" s="28"/>
      <c r="E35" s="28"/>
      <c r="F35" s="29" t="str">
        <f t="shared" si="0"/>
        <v/>
      </c>
      <c r="G35" s="29">
        <f t="shared" si="1"/>
        <v>9526.9500000000007</v>
      </c>
      <c r="H35" s="30" t="str">
        <f>IF(OR($A35="",$F35=""),"",IF(SUMPRODUCT(('📒 Comptabilité'!$F$4:$F$53=$F35)*('📒 Comptabilité'!$A$4:$A$53&lt;&gt;"")*(ABS('📒 Comptabilité'!$A$4:$A$53-$A35)&lt;='⚙️ Paramètres'!$B$10))&gt;=SUMPRODUCT(($F$4:$F35=$F35)*($A$4:$A35&lt;&gt;"")*(ABS($A$4:$A35-$A35)&lt;='⚙️ Paramètres'!$B$10)),"✔ Rapproché","✘ Non rapproché"))</f>
        <v/>
      </c>
      <c r="I35" s="27"/>
      <c r="J35" s="25" t="str">
        <f>IF($H35="✘ Non rapproché",COUNTIF($H$4:$H35,"✘ Non rapproché"),"")</f>
        <v/>
      </c>
    </row>
    <row r="36" spans="1:10" ht="15" customHeight="1" x14ac:dyDescent="0.2">
      <c r="A36" s="20"/>
      <c r="B36" s="21"/>
      <c r="C36" s="21"/>
      <c r="D36" s="22"/>
      <c r="E36" s="22"/>
      <c r="F36" s="23" t="str">
        <f t="shared" ref="F36:F67" si="2">IF(AND(D36="",E36=""),"",N(E36)-N(D36))</f>
        <v/>
      </c>
      <c r="G36" s="23">
        <f t="shared" si="1"/>
        <v>9526.9500000000007</v>
      </c>
      <c r="H36" s="24" t="str">
        <f>IF(OR($A36="",$F36=""),"",IF(SUMPRODUCT(('📒 Comptabilité'!$F$4:$F$53=$F36)*('📒 Comptabilité'!$A$4:$A$53&lt;&gt;"")*(ABS('📒 Comptabilité'!$A$4:$A$53-$A36)&lt;='⚙️ Paramètres'!$B$10))&gt;=SUMPRODUCT(($F$4:$F36=$F36)*($A$4:$A36&lt;&gt;"")*(ABS($A$4:$A36-$A36)&lt;='⚙️ Paramètres'!$B$10)),"✔ Rapproché","✘ Non rapproché"))</f>
        <v/>
      </c>
      <c r="I36" s="21"/>
      <c r="J36" s="25" t="str">
        <f>IF($H36="✘ Non rapproché",COUNTIF($H$4:$H36,"✘ Non rapproché"),"")</f>
        <v/>
      </c>
    </row>
    <row r="37" spans="1:10" ht="15" customHeight="1" x14ac:dyDescent="0.2">
      <c r="A37" s="26"/>
      <c r="B37" s="27"/>
      <c r="C37" s="27"/>
      <c r="D37" s="28"/>
      <c r="E37" s="28"/>
      <c r="F37" s="29" t="str">
        <f t="shared" si="2"/>
        <v/>
      </c>
      <c r="G37" s="29">
        <f t="shared" ref="G37:G68" si="3">IF(F37="",G36,G36+F37)</f>
        <v>9526.9500000000007</v>
      </c>
      <c r="H37" s="30" t="str">
        <f>IF(OR($A37="",$F37=""),"",IF(SUMPRODUCT(('📒 Comptabilité'!$F$4:$F$53=$F37)*('📒 Comptabilité'!$A$4:$A$53&lt;&gt;"")*(ABS('📒 Comptabilité'!$A$4:$A$53-$A37)&lt;='⚙️ Paramètres'!$B$10))&gt;=SUMPRODUCT(($F$4:$F37=$F37)*($A$4:$A37&lt;&gt;"")*(ABS($A$4:$A37-$A37)&lt;='⚙️ Paramètres'!$B$10)),"✔ Rapproché","✘ Non rapproché"))</f>
        <v/>
      </c>
      <c r="I37" s="27"/>
      <c r="J37" s="25" t="str">
        <f>IF($H37="✘ Non rapproché",COUNTIF($H$4:$H37,"✘ Non rapproché"),"")</f>
        <v/>
      </c>
    </row>
    <row r="38" spans="1:10" ht="15" customHeight="1" x14ac:dyDescent="0.2">
      <c r="A38" s="20"/>
      <c r="B38" s="21"/>
      <c r="C38" s="21"/>
      <c r="D38" s="22"/>
      <c r="E38" s="22"/>
      <c r="F38" s="23" t="str">
        <f t="shared" si="2"/>
        <v/>
      </c>
      <c r="G38" s="23">
        <f t="shared" si="3"/>
        <v>9526.9500000000007</v>
      </c>
      <c r="H38" s="24" t="str">
        <f>IF(OR($A38="",$F38=""),"",IF(SUMPRODUCT(('📒 Comptabilité'!$F$4:$F$53=$F38)*('📒 Comptabilité'!$A$4:$A$53&lt;&gt;"")*(ABS('📒 Comptabilité'!$A$4:$A$53-$A38)&lt;='⚙️ Paramètres'!$B$10))&gt;=SUMPRODUCT(($F$4:$F38=$F38)*($A$4:$A38&lt;&gt;"")*(ABS($A$4:$A38-$A38)&lt;='⚙️ Paramètres'!$B$10)),"✔ Rapproché","✘ Non rapproché"))</f>
        <v/>
      </c>
      <c r="I38" s="21"/>
      <c r="J38" s="25" t="str">
        <f>IF($H38="✘ Non rapproché",COUNTIF($H$4:$H38,"✘ Non rapproché"),"")</f>
        <v/>
      </c>
    </row>
    <row r="39" spans="1:10" ht="15" customHeight="1" x14ac:dyDescent="0.2">
      <c r="A39" s="26"/>
      <c r="B39" s="27"/>
      <c r="C39" s="27"/>
      <c r="D39" s="28"/>
      <c r="E39" s="28"/>
      <c r="F39" s="29" t="str">
        <f t="shared" si="2"/>
        <v/>
      </c>
      <c r="G39" s="29">
        <f t="shared" si="3"/>
        <v>9526.9500000000007</v>
      </c>
      <c r="H39" s="30" t="str">
        <f>IF(OR($A39="",$F39=""),"",IF(SUMPRODUCT(('📒 Comptabilité'!$F$4:$F$53=$F39)*('📒 Comptabilité'!$A$4:$A$53&lt;&gt;"")*(ABS('📒 Comptabilité'!$A$4:$A$53-$A39)&lt;='⚙️ Paramètres'!$B$10))&gt;=SUMPRODUCT(($F$4:$F39=$F39)*($A$4:$A39&lt;&gt;"")*(ABS($A$4:$A39-$A39)&lt;='⚙️ Paramètres'!$B$10)),"✔ Rapproché","✘ Non rapproché"))</f>
        <v/>
      </c>
      <c r="I39" s="27"/>
      <c r="J39" s="25" t="str">
        <f>IF($H39="✘ Non rapproché",COUNTIF($H$4:$H39,"✘ Non rapproché"),"")</f>
        <v/>
      </c>
    </row>
    <row r="40" spans="1:10" ht="15" customHeight="1" x14ac:dyDescent="0.2">
      <c r="A40" s="20"/>
      <c r="B40" s="21"/>
      <c r="C40" s="21"/>
      <c r="D40" s="22"/>
      <c r="E40" s="22"/>
      <c r="F40" s="23" t="str">
        <f t="shared" si="2"/>
        <v/>
      </c>
      <c r="G40" s="23">
        <f t="shared" si="3"/>
        <v>9526.9500000000007</v>
      </c>
      <c r="H40" s="24" t="str">
        <f>IF(OR($A40="",$F40=""),"",IF(SUMPRODUCT(('📒 Comptabilité'!$F$4:$F$53=$F40)*('📒 Comptabilité'!$A$4:$A$53&lt;&gt;"")*(ABS('📒 Comptabilité'!$A$4:$A$53-$A40)&lt;='⚙️ Paramètres'!$B$10))&gt;=SUMPRODUCT(($F$4:$F40=$F40)*($A$4:$A40&lt;&gt;"")*(ABS($A$4:$A40-$A40)&lt;='⚙️ Paramètres'!$B$10)),"✔ Rapproché","✘ Non rapproché"))</f>
        <v/>
      </c>
      <c r="I40" s="21"/>
      <c r="J40" s="25" t="str">
        <f>IF($H40="✘ Non rapproché",COUNTIF($H$4:$H40,"✘ Non rapproché"),"")</f>
        <v/>
      </c>
    </row>
    <row r="41" spans="1:10" ht="15" customHeight="1" x14ac:dyDescent="0.2">
      <c r="A41" s="26"/>
      <c r="B41" s="27"/>
      <c r="C41" s="27"/>
      <c r="D41" s="28"/>
      <c r="E41" s="28"/>
      <c r="F41" s="29" t="str">
        <f t="shared" si="2"/>
        <v/>
      </c>
      <c r="G41" s="29">
        <f t="shared" si="3"/>
        <v>9526.9500000000007</v>
      </c>
      <c r="H41" s="30" t="str">
        <f>IF(OR($A41="",$F41=""),"",IF(SUMPRODUCT(('📒 Comptabilité'!$F$4:$F$53=$F41)*('📒 Comptabilité'!$A$4:$A$53&lt;&gt;"")*(ABS('📒 Comptabilité'!$A$4:$A$53-$A41)&lt;='⚙️ Paramètres'!$B$10))&gt;=SUMPRODUCT(($F$4:$F41=$F41)*($A$4:$A41&lt;&gt;"")*(ABS($A$4:$A41-$A41)&lt;='⚙️ Paramètres'!$B$10)),"✔ Rapproché","✘ Non rapproché"))</f>
        <v/>
      </c>
      <c r="I41" s="27"/>
      <c r="J41" s="25" t="str">
        <f>IF($H41="✘ Non rapproché",COUNTIF($H$4:$H41,"✘ Non rapproché"),"")</f>
        <v/>
      </c>
    </row>
    <row r="42" spans="1:10" ht="15" customHeight="1" x14ac:dyDescent="0.2">
      <c r="A42" s="20"/>
      <c r="B42" s="21"/>
      <c r="C42" s="21"/>
      <c r="D42" s="22"/>
      <c r="E42" s="22"/>
      <c r="F42" s="23" t="str">
        <f t="shared" si="2"/>
        <v/>
      </c>
      <c r="G42" s="23">
        <f t="shared" si="3"/>
        <v>9526.9500000000007</v>
      </c>
      <c r="H42" s="24" t="str">
        <f>IF(OR($A42="",$F42=""),"",IF(SUMPRODUCT(('📒 Comptabilité'!$F$4:$F$53=$F42)*('📒 Comptabilité'!$A$4:$A$53&lt;&gt;"")*(ABS('📒 Comptabilité'!$A$4:$A$53-$A42)&lt;='⚙️ Paramètres'!$B$10))&gt;=SUMPRODUCT(($F$4:$F42=$F42)*($A$4:$A42&lt;&gt;"")*(ABS($A$4:$A42-$A42)&lt;='⚙️ Paramètres'!$B$10)),"✔ Rapproché","✘ Non rapproché"))</f>
        <v/>
      </c>
      <c r="I42" s="21"/>
      <c r="J42" s="25" t="str">
        <f>IF($H42="✘ Non rapproché",COUNTIF($H$4:$H42,"✘ Non rapproché"),"")</f>
        <v/>
      </c>
    </row>
    <row r="43" spans="1:10" ht="15" customHeight="1" x14ac:dyDescent="0.2">
      <c r="A43" s="26"/>
      <c r="B43" s="27"/>
      <c r="C43" s="27"/>
      <c r="D43" s="28"/>
      <c r="E43" s="28"/>
      <c r="F43" s="29" t="str">
        <f t="shared" si="2"/>
        <v/>
      </c>
      <c r="G43" s="29">
        <f t="shared" si="3"/>
        <v>9526.9500000000007</v>
      </c>
      <c r="H43" s="30" t="str">
        <f>IF(OR($A43="",$F43=""),"",IF(SUMPRODUCT(('📒 Comptabilité'!$F$4:$F$53=$F43)*('📒 Comptabilité'!$A$4:$A$53&lt;&gt;"")*(ABS('📒 Comptabilité'!$A$4:$A$53-$A43)&lt;='⚙️ Paramètres'!$B$10))&gt;=SUMPRODUCT(($F$4:$F43=$F43)*($A$4:$A43&lt;&gt;"")*(ABS($A$4:$A43-$A43)&lt;='⚙️ Paramètres'!$B$10)),"✔ Rapproché","✘ Non rapproché"))</f>
        <v/>
      </c>
      <c r="I43" s="27"/>
      <c r="J43" s="25" t="str">
        <f>IF($H43="✘ Non rapproché",COUNTIF($H$4:$H43,"✘ Non rapproché"),"")</f>
        <v/>
      </c>
    </row>
    <row r="44" spans="1:10" ht="15" customHeight="1" x14ac:dyDescent="0.2">
      <c r="A44" s="20"/>
      <c r="B44" s="21"/>
      <c r="C44" s="21"/>
      <c r="D44" s="22"/>
      <c r="E44" s="22"/>
      <c r="F44" s="23" t="str">
        <f t="shared" si="2"/>
        <v/>
      </c>
      <c r="G44" s="23">
        <f t="shared" si="3"/>
        <v>9526.9500000000007</v>
      </c>
      <c r="H44" s="24" t="str">
        <f>IF(OR($A44="",$F44=""),"",IF(SUMPRODUCT(('📒 Comptabilité'!$F$4:$F$53=$F44)*('📒 Comptabilité'!$A$4:$A$53&lt;&gt;"")*(ABS('📒 Comptabilité'!$A$4:$A$53-$A44)&lt;='⚙️ Paramètres'!$B$10))&gt;=SUMPRODUCT(($F$4:$F44=$F44)*($A$4:$A44&lt;&gt;"")*(ABS($A$4:$A44-$A44)&lt;='⚙️ Paramètres'!$B$10)),"✔ Rapproché","✘ Non rapproché"))</f>
        <v/>
      </c>
      <c r="I44" s="21"/>
      <c r="J44" s="25" t="str">
        <f>IF($H44="✘ Non rapproché",COUNTIF($H$4:$H44,"✘ Non rapproché"),"")</f>
        <v/>
      </c>
    </row>
    <row r="45" spans="1:10" ht="15" customHeight="1" x14ac:dyDescent="0.2">
      <c r="A45" s="26"/>
      <c r="B45" s="27"/>
      <c r="C45" s="27"/>
      <c r="D45" s="28"/>
      <c r="E45" s="28"/>
      <c r="F45" s="29" t="str">
        <f t="shared" si="2"/>
        <v/>
      </c>
      <c r="G45" s="29">
        <f t="shared" si="3"/>
        <v>9526.9500000000007</v>
      </c>
      <c r="H45" s="30" t="str">
        <f>IF(OR($A45="",$F45=""),"",IF(SUMPRODUCT(('📒 Comptabilité'!$F$4:$F$53=$F45)*('📒 Comptabilité'!$A$4:$A$53&lt;&gt;"")*(ABS('📒 Comptabilité'!$A$4:$A$53-$A45)&lt;='⚙️ Paramètres'!$B$10))&gt;=SUMPRODUCT(($F$4:$F45=$F45)*($A$4:$A45&lt;&gt;"")*(ABS($A$4:$A45-$A45)&lt;='⚙️ Paramètres'!$B$10)),"✔ Rapproché","✘ Non rapproché"))</f>
        <v/>
      </c>
      <c r="I45" s="27"/>
      <c r="J45" s="25" t="str">
        <f>IF($H45="✘ Non rapproché",COUNTIF($H$4:$H45,"✘ Non rapproché"),"")</f>
        <v/>
      </c>
    </row>
    <row r="46" spans="1:10" ht="15" customHeight="1" x14ac:dyDescent="0.2">
      <c r="A46" s="20"/>
      <c r="B46" s="21"/>
      <c r="C46" s="21"/>
      <c r="D46" s="22"/>
      <c r="E46" s="22"/>
      <c r="F46" s="23" t="str">
        <f t="shared" si="2"/>
        <v/>
      </c>
      <c r="G46" s="23">
        <f t="shared" si="3"/>
        <v>9526.9500000000007</v>
      </c>
      <c r="H46" s="24" t="str">
        <f>IF(OR($A46="",$F46=""),"",IF(SUMPRODUCT(('📒 Comptabilité'!$F$4:$F$53=$F46)*('📒 Comptabilité'!$A$4:$A$53&lt;&gt;"")*(ABS('📒 Comptabilité'!$A$4:$A$53-$A46)&lt;='⚙️ Paramètres'!$B$10))&gt;=SUMPRODUCT(($F$4:$F46=$F46)*($A$4:$A46&lt;&gt;"")*(ABS($A$4:$A46-$A46)&lt;='⚙️ Paramètres'!$B$10)),"✔ Rapproché","✘ Non rapproché"))</f>
        <v/>
      </c>
      <c r="I46" s="21"/>
      <c r="J46" s="25" t="str">
        <f>IF($H46="✘ Non rapproché",COUNTIF($H$4:$H46,"✘ Non rapproché"),"")</f>
        <v/>
      </c>
    </row>
    <row r="47" spans="1:10" ht="15" customHeight="1" x14ac:dyDescent="0.2">
      <c r="A47" s="26"/>
      <c r="B47" s="27"/>
      <c r="C47" s="27"/>
      <c r="D47" s="28"/>
      <c r="E47" s="28"/>
      <c r="F47" s="29" t="str">
        <f t="shared" si="2"/>
        <v/>
      </c>
      <c r="G47" s="29">
        <f t="shared" si="3"/>
        <v>9526.9500000000007</v>
      </c>
      <c r="H47" s="30" t="str">
        <f>IF(OR($A47="",$F47=""),"",IF(SUMPRODUCT(('📒 Comptabilité'!$F$4:$F$53=$F47)*('📒 Comptabilité'!$A$4:$A$53&lt;&gt;"")*(ABS('📒 Comptabilité'!$A$4:$A$53-$A47)&lt;='⚙️ Paramètres'!$B$10))&gt;=SUMPRODUCT(($F$4:$F47=$F47)*($A$4:$A47&lt;&gt;"")*(ABS($A$4:$A47-$A47)&lt;='⚙️ Paramètres'!$B$10)),"✔ Rapproché","✘ Non rapproché"))</f>
        <v/>
      </c>
      <c r="I47" s="27"/>
      <c r="J47" s="25" t="str">
        <f>IF($H47="✘ Non rapproché",COUNTIF($H$4:$H47,"✘ Non rapproché"),"")</f>
        <v/>
      </c>
    </row>
    <row r="48" spans="1:10" ht="15" customHeight="1" x14ac:dyDescent="0.2">
      <c r="A48" s="20"/>
      <c r="B48" s="21"/>
      <c r="C48" s="21"/>
      <c r="D48" s="22"/>
      <c r="E48" s="22"/>
      <c r="F48" s="23" t="str">
        <f t="shared" si="2"/>
        <v/>
      </c>
      <c r="G48" s="23">
        <f t="shared" si="3"/>
        <v>9526.9500000000007</v>
      </c>
      <c r="H48" s="24" t="str">
        <f>IF(OR($A48="",$F48=""),"",IF(SUMPRODUCT(('📒 Comptabilité'!$F$4:$F$53=$F48)*('📒 Comptabilité'!$A$4:$A$53&lt;&gt;"")*(ABS('📒 Comptabilité'!$A$4:$A$53-$A48)&lt;='⚙️ Paramètres'!$B$10))&gt;=SUMPRODUCT(($F$4:$F48=$F48)*($A$4:$A48&lt;&gt;"")*(ABS($A$4:$A48-$A48)&lt;='⚙️ Paramètres'!$B$10)),"✔ Rapproché","✘ Non rapproché"))</f>
        <v/>
      </c>
      <c r="I48" s="21"/>
      <c r="J48" s="25" t="str">
        <f>IF($H48="✘ Non rapproché",COUNTIF($H$4:$H48,"✘ Non rapproché"),"")</f>
        <v/>
      </c>
    </row>
    <row r="49" spans="1:10" ht="15" customHeight="1" x14ac:dyDescent="0.2">
      <c r="A49" s="26"/>
      <c r="B49" s="27"/>
      <c r="C49" s="27"/>
      <c r="D49" s="28"/>
      <c r="E49" s="28"/>
      <c r="F49" s="29" t="str">
        <f t="shared" si="2"/>
        <v/>
      </c>
      <c r="G49" s="29">
        <f t="shared" si="3"/>
        <v>9526.9500000000007</v>
      </c>
      <c r="H49" s="30" t="str">
        <f>IF(OR($A49="",$F49=""),"",IF(SUMPRODUCT(('📒 Comptabilité'!$F$4:$F$53=$F49)*('📒 Comptabilité'!$A$4:$A$53&lt;&gt;"")*(ABS('📒 Comptabilité'!$A$4:$A$53-$A49)&lt;='⚙️ Paramètres'!$B$10))&gt;=SUMPRODUCT(($F$4:$F49=$F49)*($A$4:$A49&lt;&gt;"")*(ABS($A$4:$A49-$A49)&lt;='⚙️ Paramètres'!$B$10)),"✔ Rapproché","✘ Non rapproché"))</f>
        <v/>
      </c>
      <c r="I49" s="27"/>
      <c r="J49" s="25" t="str">
        <f>IF($H49="✘ Non rapproché",COUNTIF($H$4:$H49,"✘ Non rapproché"),"")</f>
        <v/>
      </c>
    </row>
    <row r="50" spans="1:10" ht="15" customHeight="1" x14ac:dyDescent="0.2">
      <c r="A50" s="20"/>
      <c r="B50" s="21"/>
      <c r="C50" s="21"/>
      <c r="D50" s="22"/>
      <c r="E50" s="22"/>
      <c r="F50" s="23" t="str">
        <f t="shared" si="2"/>
        <v/>
      </c>
      <c r="G50" s="23">
        <f t="shared" si="3"/>
        <v>9526.9500000000007</v>
      </c>
      <c r="H50" s="24" t="str">
        <f>IF(OR($A50="",$F50=""),"",IF(SUMPRODUCT(('📒 Comptabilité'!$F$4:$F$53=$F50)*('📒 Comptabilité'!$A$4:$A$53&lt;&gt;"")*(ABS('📒 Comptabilité'!$A$4:$A$53-$A50)&lt;='⚙️ Paramètres'!$B$10))&gt;=SUMPRODUCT(($F$4:$F50=$F50)*($A$4:$A50&lt;&gt;"")*(ABS($A$4:$A50-$A50)&lt;='⚙️ Paramètres'!$B$10)),"✔ Rapproché","✘ Non rapproché"))</f>
        <v/>
      </c>
      <c r="I50" s="21"/>
      <c r="J50" s="25" t="str">
        <f>IF($H50="✘ Non rapproché",COUNTIF($H$4:$H50,"✘ Non rapproché"),"")</f>
        <v/>
      </c>
    </row>
    <row r="51" spans="1:10" ht="15" customHeight="1" x14ac:dyDescent="0.2">
      <c r="A51" s="26"/>
      <c r="B51" s="27"/>
      <c r="C51" s="27"/>
      <c r="D51" s="28"/>
      <c r="E51" s="28"/>
      <c r="F51" s="29" t="str">
        <f t="shared" si="2"/>
        <v/>
      </c>
      <c r="G51" s="29">
        <f t="shared" si="3"/>
        <v>9526.9500000000007</v>
      </c>
      <c r="H51" s="30" t="str">
        <f>IF(OR($A51="",$F51=""),"",IF(SUMPRODUCT(('📒 Comptabilité'!$F$4:$F$53=$F51)*('📒 Comptabilité'!$A$4:$A$53&lt;&gt;"")*(ABS('📒 Comptabilité'!$A$4:$A$53-$A51)&lt;='⚙️ Paramètres'!$B$10))&gt;=SUMPRODUCT(($F$4:$F51=$F51)*($A$4:$A51&lt;&gt;"")*(ABS($A$4:$A51-$A51)&lt;='⚙️ Paramètres'!$B$10)),"✔ Rapproché","✘ Non rapproché"))</f>
        <v/>
      </c>
      <c r="I51" s="27"/>
      <c r="J51" s="25" t="str">
        <f>IF($H51="✘ Non rapproché",COUNTIF($H$4:$H51,"✘ Non rapproché"),"")</f>
        <v/>
      </c>
    </row>
    <row r="52" spans="1:10" ht="15" customHeight="1" x14ac:dyDescent="0.2">
      <c r="A52" s="20"/>
      <c r="B52" s="21"/>
      <c r="C52" s="21"/>
      <c r="D52" s="22"/>
      <c r="E52" s="22"/>
      <c r="F52" s="23" t="str">
        <f t="shared" si="2"/>
        <v/>
      </c>
      <c r="G52" s="23">
        <f t="shared" si="3"/>
        <v>9526.9500000000007</v>
      </c>
      <c r="H52" s="24" t="str">
        <f>IF(OR($A52="",$F52=""),"",IF(SUMPRODUCT(('📒 Comptabilité'!$F$4:$F$53=$F52)*('📒 Comptabilité'!$A$4:$A$53&lt;&gt;"")*(ABS('📒 Comptabilité'!$A$4:$A$53-$A52)&lt;='⚙️ Paramètres'!$B$10))&gt;=SUMPRODUCT(($F$4:$F52=$F52)*($A$4:$A52&lt;&gt;"")*(ABS($A$4:$A52-$A52)&lt;='⚙️ Paramètres'!$B$10)),"✔ Rapproché","✘ Non rapproché"))</f>
        <v/>
      </c>
      <c r="I52" s="21"/>
      <c r="J52" s="25" t="str">
        <f>IF($H52="✘ Non rapproché",COUNTIF($H$4:$H52,"✘ Non rapproché"),"")</f>
        <v/>
      </c>
    </row>
    <row r="53" spans="1:10" ht="15" customHeight="1" x14ac:dyDescent="0.2">
      <c r="A53" s="26"/>
      <c r="B53" s="27"/>
      <c r="C53" s="27"/>
      <c r="D53" s="28"/>
      <c r="E53" s="28"/>
      <c r="F53" s="29" t="str">
        <f t="shared" si="2"/>
        <v/>
      </c>
      <c r="G53" s="29">
        <f t="shared" si="3"/>
        <v>9526.9500000000007</v>
      </c>
      <c r="H53" s="30" t="str">
        <f>IF(OR($A53="",$F53=""),"",IF(SUMPRODUCT(('📒 Comptabilité'!$F$4:$F$53=$F53)*('📒 Comptabilité'!$A$4:$A$53&lt;&gt;"")*(ABS('📒 Comptabilité'!$A$4:$A$53-$A53)&lt;='⚙️ Paramètres'!$B$10))&gt;=SUMPRODUCT(($F$4:$F53=$F53)*($A$4:$A53&lt;&gt;"")*(ABS($A$4:$A53-$A53)&lt;='⚙️ Paramètres'!$B$10)),"✔ Rapproché","✘ Non rapproché"))</f>
        <v/>
      </c>
      <c r="I53" s="27"/>
      <c r="J53" s="25" t="str">
        <f>IF($H53="✘ Non rapproché",COUNTIF($H$4:$H53,"✘ Non rapproché"),"")</f>
        <v/>
      </c>
    </row>
    <row r="54" spans="1:10" ht="15" customHeight="1" x14ac:dyDescent="0.2">
      <c r="A54" s="7" t="s">
        <v>60</v>
      </c>
      <c r="B54" s="7"/>
      <c r="C54" s="7"/>
      <c r="D54" s="31">
        <f>SUM(D4:D53)</f>
        <v>5272.3</v>
      </c>
      <c r="E54" s="31">
        <f>SUM(E4:E53)</f>
        <v>4799.25</v>
      </c>
      <c r="F54" s="31">
        <f>SUM(F4:F53)</f>
        <v>-473.05</v>
      </c>
      <c r="G54" s="31">
        <f>G53</f>
        <v>9526.9500000000007</v>
      </c>
      <c r="H54" s="32"/>
      <c r="I54" s="32"/>
    </row>
  </sheetData>
  <mergeCells count="2">
    <mergeCell ref="A1:I1"/>
    <mergeCell ref="A54:C54"/>
  </mergeCells>
  <conditionalFormatting sqref="H4:H53">
    <cfRule type="expression" dxfId="3" priority="2">
      <formula>$H4="✔ Rapproché"</formula>
    </cfRule>
    <cfRule type="expression" dxfId="2" priority="3">
      <formula>$H4="✘ Non rapproché"</formula>
    </cfRule>
  </conditionalFormatting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375623"/>
  </sheetPr>
  <dimension ref="A1:J54"/>
  <sheetViews>
    <sheetView showGridLines="0" zoomScaleNormal="100" workbookViewId="0">
      <pane ySplit="3" topLeftCell="A4" activePane="bottomLeft" state="frozen"/>
      <selection pane="bottomLeft" activeCell="F4" sqref="F4"/>
    </sheetView>
  </sheetViews>
  <sheetFormatPr baseColWidth="10" defaultColWidth="8.6640625" defaultRowHeight="15" x14ac:dyDescent="0.2"/>
  <cols>
    <col min="1" max="2" width="13" customWidth="1"/>
    <col min="3" max="3" width="26" customWidth="1"/>
    <col min="4" max="5" width="13" customWidth="1"/>
    <col min="6" max="6" width="14" customWidth="1"/>
    <col min="7" max="7" width="15" customWidth="1"/>
    <col min="8" max="8" width="17" customWidth="1"/>
    <col min="9" max="9" width="20" customWidth="1"/>
    <col min="10" max="10" width="13" hidden="1" customWidth="1"/>
  </cols>
  <sheetData>
    <row r="1" spans="1:10" ht="27.75" customHeight="1" x14ac:dyDescent="0.2">
      <c r="A1" s="10" t="s">
        <v>61</v>
      </c>
      <c r="B1" s="10"/>
      <c r="C1" s="10"/>
      <c r="D1" s="10"/>
      <c r="E1" s="10"/>
      <c r="F1" s="10"/>
      <c r="G1" s="10"/>
      <c r="H1" s="10"/>
      <c r="I1" s="10"/>
    </row>
    <row r="3" spans="1:10" ht="30" customHeight="1" x14ac:dyDescent="0.2">
      <c r="A3" s="19" t="s">
        <v>31</v>
      </c>
      <c r="B3" s="19" t="s">
        <v>32</v>
      </c>
      <c r="C3" s="19" t="s">
        <v>33</v>
      </c>
      <c r="D3" s="19" t="s">
        <v>34</v>
      </c>
      <c r="E3" s="19" t="s">
        <v>35</v>
      </c>
      <c r="F3" s="19" t="s">
        <v>36</v>
      </c>
      <c r="G3" s="19" t="s">
        <v>37</v>
      </c>
      <c r="H3" s="19" t="s">
        <v>38</v>
      </c>
      <c r="I3" s="19" t="s">
        <v>39</v>
      </c>
    </row>
    <row r="4" spans="1:10" ht="15" customHeight="1" x14ac:dyDescent="0.2">
      <c r="A4" s="20">
        <v>45660</v>
      </c>
      <c r="B4" s="21" t="s">
        <v>62</v>
      </c>
      <c r="C4" s="21" t="s">
        <v>63</v>
      </c>
      <c r="D4" s="22"/>
      <c r="E4" s="22">
        <v>1500</v>
      </c>
      <c r="F4" s="23">
        <f t="shared" ref="F4:F35" si="0">IF(AND(D4="",E4=""),"",N(E4)-N(D4))</f>
        <v>1500</v>
      </c>
      <c r="G4" s="23">
        <f>'⚙️ Paramètres'!$B$9+IF(F4="",0,F4)</f>
        <v>16500</v>
      </c>
      <c r="H4" s="24" t="str">
        <f>IF(OR($A4="",$F4=""),"",IF(SUMPRODUCT(('🏦 Relevé Banque'!$F$4:$F$53=$F4)*('🏦 Relevé Banque'!$A$4:$A$53&lt;&gt;"")*(ABS('🏦 Relevé Banque'!$A$4:$A$53-$A4)&lt;='⚙️ Paramètres'!$B$10))&gt;=SUMPRODUCT(($F$4:$F4=$F4)*($A$4:$A4&lt;&gt;"")*(ABS($A$4:$A4-$A4)&lt;='⚙️ Paramètres'!$B$10)),"✔ Rapproché","✘ Non rapproché"))</f>
        <v>✔ Rapproché</v>
      </c>
      <c r="I4" s="21"/>
      <c r="J4" s="25" t="str">
        <f>IF($H4="✘ Non rapproché",COUNTIF($H$4:$H4,"✘ Non rapproché"),"")</f>
        <v/>
      </c>
    </row>
    <row r="5" spans="1:10" ht="15" customHeight="1" x14ac:dyDescent="0.2">
      <c r="A5" s="26">
        <v>45661</v>
      </c>
      <c r="B5" s="27" t="s">
        <v>64</v>
      </c>
      <c r="C5" s="27" t="s">
        <v>65</v>
      </c>
      <c r="D5" s="28">
        <v>850</v>
      </c>
      <c r="E5" s="28"/>
      <c r="F5" s="29">
        <f t="shared" si="0"/>
        <v>-850</v>
      </c>
      <c r="G5" s="29">
        <f t="shared" ref="G5:G36" si="1">IF(F5="",G4,G4+F5)</f>
        <v>15650</v>
      </c>
      <c r="H5" s="30" t="str">
        <f>IF(OR($A5="",$F5=""),"",IF(SUMPRODUCT(('🏦 Relevé Banque'!$F$4:$F$53=$F5)*('🏦 Relevé Banque'!$A$4:$A$53&lt;&gt;"")*(ABS('🏦 Relevé Banque'!$A$4:$A$53-$A5)&lt;='⚙️ Paramètres'!$B$10))&gt;=SUMPRODUCT(($F$4:$F5=$F5)*($A$4:$A5&lt;&gt;"")*(ABS($A$4:$A5-$A5)&lt;='⚙️ Paramètres'!$B$10)),"✔ Rapproché","✘ Non rapproché"))</f>
        <v>✔ Rapproché</v>
      </c>
      <c r="I5" s="27"/>
      <c r="J5" s="25" t="str">
        <f>IF($H5="✘ Non rapproché",COUNTIF($H$4:$H5,"✘ Non rapproché"),"")</f>
        <v/>
      </c>
    </row>
    <row r="6" spans="1:10" ht="15" customHeight="1" x14ac:dyDescent="0.2">
      <c r="A6" s="20">
        <v>45663</v>
      </c>
      <c r="B6" s="21" t="s">
        <v>66</v>
      </c>
      <c r="C6" s="21" t="s">
        <v>67</v>
      </c>
      <c r="D6" s="22">
        <v>1200</v>
      </c>
      <c r="E6" s="22"/>
      <c r="F6" s="23">
        <f t="shared" si="0"/>
        <v>-1200</v>
      </c>
      <c r="G6" s="23">
        <f t="shared" si="1"/>
        <v>14450</v>
      </c>
      <c r="H6" s="24" t="str">
        <f>IF(OR($A6="",$F6=""),"",IF(SUMPRODUCT(('🏦 Relevé Banque'!$F$4:$F$53=$F6)*('🏦 Relevé Banque'!$A$4:$A$53&lt;&gt;"")*(ABS('🏦 Relevé Banque'!$A$4:$A$53-$A6)&lt;='⚙️ Paramètres'!$B$10))&gt;=SUMPRODUCT(($F$4:$F6=$F6)*($A$4:$A6&lt;&gt;"")*(ABS($A$4:$A6-$A6)&lt;='⚙️ Paramètres'!$B$10)),"✔ Rapproché","✘ Non rapproché"))</f>
        <v>✔ Rapproché</v>
      </c>
      <c r="I6" s="21"/>
      <c r="J6" s="25" t="str">
        <f>IF($H6="✘ Non rapproché",COUNTIF($H$4:$H6,"✘ Non rapproché"),"")</f>
        <v/>
      </c>
    </row>
    <row r="7" spans="1:10" ht="15" customHeight="1" x14ac:dyDescent="0.2">
      <c r="A7" s="26">
        <v>45665</v>
      </c>
      <c r="B7" s="27" t="s">
        <v>68</v>
      </c>
      <c r="C7" s="27" t="s">
        <v>69</v>
      </c>
      <c r="D7" s="28"/>
      <c r="E7" s="28">
        <v>2300.5</v>
      </c>
      <c r="F7" s="29">
        <f t="shared" si="0"/>
        <v>2300.5</v>
      </c>
      <c r="G7" s="29">
        <f t="shared" si="1"/>
        <v>16750.5</v>
      </c>
      <c r="H7" s="30" t="str">
        <f>IF(OR($A7="",$F7=""),"",IF(SUMPRODUCT(('🏦 Relevé Banque'!$F$4:$F$53=$F7)*('🏦 Relevé Banque'!$A$4:$A$53&lt;&gt;"")*(ABS('🏦 Relevé Banque'!$A$4:$A$53-$A7)&lt;='⚙️ Paramètres'!$B$10))&gt;=SUMPRODUCT(($F$4:$F7=$F7)*($A$4:$A7&lt;&gt;"")*(ABS($A$4:$A7-$A7)&lt;='⚙️ Paramètres'!$B$10)),"✔ Rapproché","✘ Non rapproché"))</f>
        <v>✔ Rapproché</v>
      </c>
      <c r="I7" s="27"/>
      <c r="J7" s="25" t="str">
        <f>IF($H7="✘ Non rapproché",COUNTIF($H$4:$H7,"✘ Non rapproché"),"")</f>
        <v/>
      </c>
    </row>
    <row r="8" spans="1:10" ht="15" customHeight="1" x14ac:dyDescent="0.2">
      <c r="A8" s="20">
        <v>45667</v>
      </c>
      <c r="B8" s="21" t="s">
        <v>70</v>
      </c>
      <c r="C8" s="21" t="s">
        <v>71</v>
      </c>
      <c r="D8" s="22">
        <v>640</v>
      </c>
      <c r="E8" s="22"/>
      <c r="F8" s="23">
        <f t="shared" si="0"/>
        <v>-640</v>
      </c>
      <c r="G8" s="23">
        <f t="shared" si="1"/>
        <v>16110.5</v>
      </c>
      <c r="H8" s="24" t="str">
        <f>IF(OR($A8="",$F8=""),"",IF(SUMPRODUCT(('🏦 Relevé Banque'!$F$4:$F$53=$F8)*('🏦 Relevé Banque'!$A$4:$A$53&lt;&gt;"")*(ABS('🏦 Relevé Banque'!$A$4:$A$53-$A8)&lt;='⚙️ Paramètres'!$B$10))&gt;=SUMPRODUCT(($F$4:$F8=$F8)*($A$4:$A8&lt;&gt;"")*(ABS($A$4:$A8-$A8)&lt;='⚙️ Paramètres'!$B$10)),"✔ Rapproché","✘ Non rapproché"))</f>
        <v>✘ Non rapproché</v>
      </c>
      <c r="I8" s="21"/>
      <c r="J8" s="25">
        <f>IF($H8="✘ Non rapproché",COUNTIF($H$4:$H8,"✘ Non rapproché"),"")</f>
        <v>1</v>
      </c>
    </row>
    <row r="9" spans="1:10" ht="15" customHeight="1" x14ac:dyDescent="0.2">
      <c r="A9" s="26">
        <v>45669</v>
      </c>
      <c r="B9" s="27" t="s">
        <v>72</v>
      </c>
      <c r="C9" s="27" t="s">
        <v>73</v>
      </c>
      <c r="D9" s="28">
        <v>2100</v>
      </c>
      <c r="E9" s="28"/>
      <c r="F9" s="29">
        <f t="shared" si="0"/>
        <v>-2100</v>
      </c>
      <c r="G9" s="29">
        <f t="shared" si="1"/>
        <v>14010.5</v>
      </c>
      <c r="H9" s="30" t="str">
        <f>IF(OR($A9="",$F9=""),"",IF(SUMPRODUCT(('🏦 Relevé Banque'!$F$4:$F$53=$F9)*('🏦 Relevé Banque'!$A$4:$A$53&lt;&gt;"")*(ABS('🏦 Relevé Banque'!$A$4:$A$53-$A9)&lt;='⚙️ Paramètres'!$B$10))&gt;=SUMPRODUCT(($F$4:$F9=$F9)*($A$4:$A9&lt;&gt;"")*(ABS($A$4:$A9-$A9)&lt;='⚙️ Paramètres'!$B$10)),"✔ Rapproché","✘ Non rapproché"))</f>
        <v>✔ Rapproché</v>
      </c>
      <c r="I9" s="27"/>
      <c r="J9" s="25" t="str">
        <f>IF($H9="✘ Non rapproché",COUNTIF($H$4:$H9,"✘ Non rapproché"),"")</f>
        <v/>
      </c>
    </row>
    <row r="10" spans="1:10" ht="15" customHeight="1" x14ac:dyDescent="0.2">
      <c r="A10" s="20">
        <v>45672</v>
      </c>
      <c r="B10" s="21" t="s">
        <v>74</v>
      </c>
      <c r="C10" s="21" t="s">
        <v>75</v>
      </c>
      <c r="D10" s="22">
        <v>35</v>
      </c>
      <c r="E10" s="22"/>
      <c r="F10" s="23">
        <f t="shared" si="0"/>
        <v>-35</v>
      </c>
      <c r="G10" s="23">
        <f t="shared" si="1"/>
        <v>13975.5</v>
      </c>
      <c r="H10" s="24" t="str">
        <f>IF(OR($A10="",$F10=""),"",IF(SUMPRODUCT(('🏦 Relevé Banque'!$F$4:$F$53=$F10)*('🏦 Relevé Banque'!$A$4:$A$53&lt;&gt;"")*(ABS('🏦 Relevé Banque'!$A$4:$A$53-$A10)&lt;='⚙️ Paramètres'!$B$10))&gt;=SUMPRODUCT(($F$4:$F10=$F10)*($A$4:$A10&lt;&gt;"")*(ABS($A$4:$A10-$A10)&lt;='⚙️ Paramètres'!$B$10)),"✔ Rapproché","✘ Non rapproché"))</f>
        <v>✘ Non rapproché</v>
      </c>
      <c r="I10" s="21"/>
      <c r="J10" s="25">
        <f>IF($H10="✘ Non rapproché",COUNTIF($H$4:$H10,"✘ Non rapproché"),"")</f>
        <v>2</v>
      </c>
    </row>
    <row r="11" spans="1:10" ht="15" customHeight="1" x14ac:dyDescent="0.2">
      <c r="A11" s="26">
        <v>45677</v>
      </c>
      <c r="B11" s="27" t="s">
        <v>76</v>
      </c>
      <c r="C11" s="27" t="s">
        <v>77</v>
      </c>
      <c r="D11" s="28"/>
      <c r="E11" s="28">
        <v>980</v>
      </c>
      <c r="F11" s="29">
        <f t="shared" si="0"/>
        <v>980</v>
      </c>
      <c r="G11" s="29">
        <f t="shared" si="1"/>
        <v>14955.5</v>
      </c>
      <c r="H11" s="30" t="str">
        <f>IF(OR($A11="",$F11=""),"",IF(SUMPRODUCT(('🏦 Relevé Banque'!$F$4:$F$53=$F11)*('🏦 Relevé Banque'!$A$4:$A$53&lt;&gt;"")*(ABS('🏦 Relevé Banque'!$A$4:$A$53-$A11)&lt;='⚙️ Paramètres'!$B$10))&gt;=SUMPRODUCT(($F$4:$F11=$F11)*($A$4:$A11&lt;&gt;"")*(ABS($A$4:$A11-$A11)&lt;='⚙️ Paramètres'!$B$10)),"✔ Rapproché","✘ Non rapproché"))</f>
        <v>✔ Rapproché</v>
      </c>
      <c r="I11" s="27"/>
      <c r="J11" s="25" t="str">
        <f>IF($H11="✘ Non rapproché",COUNTIF($H$4:$H11,"✘ Non rapproché"),"")</f>
        <v/>
      </c>
    </row>
    <row r="12" spans="1:10" ht="15" customHeight="1" x14ac:dyDescent="0.2">
      <c r="A12" s="20">
        <v>45682</v>
      </c>
      <c r="B12" s="21" t="s">
        <v>78</v>
      </c>
      <c r="C12" s="21" t="s">
        <v>79</v>
      </c>
      <c r="D12" s="22">
        <v>420</v>
      </c>
      <c r="E12" s="22"/>
      <c r="F12" s="23">
        <f t="shared" si="0"/>
        <v>-420</v>
      </c>
      <c r="G12" s="23">
        <f t="shared" si="1"/>
        <v>14535.5</v>
      </c>
      <c r="H12" s="24" t="str">
        <f>IF(OR($A12="",$F12=""),"",IF(SUMPRODUCT(('🏦 Relevé Banque'!$F$4:$F$53=$F12)*('🏦 Relevé Banque'!$A$4:$A$53&lt;&gt;"")*(ABS('🏦 Relevé Banque'!$A$4:$A$53-$A12)&lt;='⚙️ Paramètres'!$B$10))&gt;=SUMPRODUCT(($F$4:$F12=$F12)*($A$4:$A12&lt;&gt;"")*(ABS($A$4:$A12-$A12)&lt;='⚙️ Paramètres'!$B$10)),"✔ Rapproché","✘ Non rapproché"))</f>
        <v>✔ Rapproché</v>
      </c>
      <c r="I12" s="21"/>
      <c r="J12" s="25" t="str">
        <f>IF($H12="✘ Non rapproché",COUNTIF($H$4:$H12,"✘ Non rapproché"),"")</f>
        <v/>
      </c>
    </row>
    <row r="13" spans="1:10" ht="15" customHeight="1" x14ac:dyDescent="0.2">
      <c r="A13" s="26">
        <v>45685</v>
      </c>
      <c r="B13" s="27" t="s">
        <v>80</v>
      </c>
      <c r="C13" s="27" t="s">
        <v>81</v>
      </c>
      <c r="D13" s="28">
        <v>150</v>
      </c>
      <c r="E13" s="28"/>
      <c r="F13" s="29">
        <f t="shared" si="0"/>
        <v>-150</v>
      </c>
      <c r="G13" s="29">
        <f t="shared" si="1"/>
        <v>14385.5</v>
      </c>
      <c r="H13" s="30" t="str">
        <f>IF(OR($A13="",$F13=""),"",IF(SUMPRODUCT(('🏦 Relevé Banque'!$F$4:$F$53=$F13)*('🏦 Relevé Banque'!$A$4:$A$53&lt;&gt;"")*(ABS('🏦 Relevé Banque'!$A$4:$A$53-$A13)&lt;='⚙️ Paramètres'!$B$10))&gt;=SUMPRODUCT(($F$4:$F13=$F13)*($A$4:$A13&lt;&gt;"")*(ABS($A$4:$A13-$A13)&lt;='⚙️ Paramètres'!$B$10)),"✔ Rapproché","✘ Non rapproché"))</f>
        <v>✘ Non rapproché</v>
      </c>
      <c r="I13" s="27"/>
      <c r="J13" s="25">
        <f>IF($H13="✘ Non rapproché",COUNTIF($H$4:$H13,"✘ Non rapproché"),"")</f>
        <v>3</v>
      </c>
    </row>
    <row r="14" spans="1:10" ht="15" customHeight="1" x14ac:dyDescent="0.2">
      <c r="A14" s="20"/>
      <c r="B14" s="21"/>
      <c r="C14" s="21"/>
      <c r="D14" s="22"/>
      <c r="E14" s="22"/>
      <c r="F14" s="23" t="str">
        <f t="shared" si="0"/>
        <v/>
      </c>
      <c r="G14" s="23">
        <f t="shared" si="1"/>
        <v>14385.5</v>
      </c>
      <c r="H14" s="24" t="str">
        <f>IF(OR($A14="",$F14=""),"",IF(SUMPRODUCT(('🏦 Relevé Banque'!$F$4:$F$53=$F14)*('🏦 Relevé Banque'!$A$4:$A$53&lt;&gt;"")*(ABS('🏦 Relevé Banque'!$A$4:$A$53-$A14)&lt;='⚙️ Paramètres'!$B$10))&gt;=SUMPRODUCT(($F$4:$F14=$F14)*($A$4:$A14&lt;&gt;"")*(ABS($A$4:$A14-$A14)&lt;='⚙️ Paramètres'!$B$10)),"✔ Rapproché","✘ Non rapproché"))</f>
        <v/>
      </c>
      <c r="I14" s="21"/>
      <c r="J14" s="25" t="str">
        <f>IF($H14="✘ Non rapproché",COUNTIF($H$4:$H14,"✘ Non rapproché"),"")</f>
        <v/>
      </c>
    </row>
    <row r="15" spans="1:10" ht="15" customHeight="1" x14ac:dyDescent="0.2">
      <c r="A15" s="26"/>
      <c r="B15" s="27"/>
      <c r="C15" s="27"/>
      <c r="D15" s="28"/>
      <c r="E15" s="28"/>
      <c r="F15" s="29" t="str">
        <f t="shared" si="0"/>
        <v/>
      </c>
      <c r="G15" s="29">
        <f>IF(F15="",G14,G14+F15)</f>
        <v>14385.5</v>
      </c>
      <c r="H15" s="30" t="str">
        <f>IF(OR($A15="",$F15=""),"",IF(SUMPRODUCT(('🏦 Relevé Banque'!$F$4:$F$53=$F15)*('🏦 Relevé Banque'!$A$4:$A$53&lt;&gt;"")*(ABS('🏦 Relevé Banque'!$A$4:$A$53-$A15)&lt;='⚙️ Paramètres'!$B$10))&gt;=SUMPRODUCT(($F$4:$F15=$F15)*($A$4:$A15&lt;&gt;"")*(ABS($A$4:$A15-$A15)&lt;='⚙️ Paramètres'!$B$10)),"✔ Rapproché","✘ Non rapproché"))</f>
        <v/>
      </c>
      <c r="I15" s="27"/>
      <c r="J15" s="25" t="str">
        <f>IF($H15="✘ Non rapproché",COUNTIF($H$4:$H15,"✘ Non rapproché"),"")</f>
        <v/>
      </c>
    </row>
    <row r="16" spans="1:10" ht="15" customHeight="1" x14ac:dyDescent="0.2">
      <c r="A16" s="20"/>
      <c r="B16" s="21"/>
      <c r="C16" s="21"/>
      <c r="D16" s="22"/>
      <c r="E16" s="22"/>
      <c r="F16" s="23" t="str">
        <f t="shared" si="0"/>
        <v/>
      </c>
      <c r="G16" s="23">
        <f t="shared" si="1"/>
        <v>14385.5</v>
      </c>
      <c r="H16" s="24" t="str">
        <f>IF(OR($A16="",$F16=""),"",IF(SUMPRODUCT(('🏦 Relevé Banque'!$F$4:$F$53=$F16)*('🏦 Relevé Banque'!$A$4:$A$53&lt;&gt;"")*(ABS('🏦 Relevé Banque'!$A$4:$A$53-$A16)&lt;='⚙️ Paramètres'!$B$10))&gt;=SUMPRODUCT(($F$4:$F16=$F16)*($A$4:$A16&lt;&gt;"")*(ABS($A$4:$A16-$A16)&lt;='⚙️ Paramètres'!$B$10)),"✔ Rapproché","✘ Non rapproché"))</f>
        <v/>
      </c>
      <c r="I16" s="21"/>
      <c r="J16" s="25" t="str">
        <f>IF($H16="✘ Non rapproché",COUNTIF($H$4:$H16,"✘ Non rapproché"),"")</f>
        <v/>
      </c>
    </row>
    <row r="17" spans="1:10" ht="15" customHeight="1" x14ac:dyDescent="0.2">
      <c r="A17" s="26"/>
      <c r="B17" s="27"/>
      <c r="C17" s="27"/>
      <c r="D17" s="28"/>
      <c r="E17" s="28"/>
      <c r="F17" s="29" t="str">
        <f t="shared" si="0"/>
        <v/>
      </c>
      <c r="G17" s="29">
        <f t="shared" si="1"/>
        <v>14385.5</v>
      </c>
      <c r="H17" s="30" t="str">
        <f>IF(OR($A17="",$F17=""),"",IF(SUMPRODUCT(('🏦 Relevé Banque'!$F$4:$F$53=$F17)*('🏦 Relevé Banque'!$A$4:$A$53&lt;&gt;"")*(ABS('🏦 Relevé Banque'!$A$4:$A$53-$A17)&lt;='⚙️ Paramètres'!$B$10))&gt;=SUMPRODUCT(($F$4:$F17=$F17)*($A$4:$A17&lt;&gt;"")*(ABS($A$4:$A17-$A17)&lt;='⚙️ Paramètres'!$B$10)),"✔ Rapproché","✘ Non rapproché"))</f>
        <v/>
      </c>
      <c r="I17" s="27"/>
      <c r="J17" s="25" t="str">
        <f>IF($H17="✘ Non rapproché",COUNTIF($H$4:$H17,"✘ Non rapproché"),"")</f>
        <v/>
      </c>
    </row>
    <row r="18" spans="1:10" ht="15" customHeight="1" x14ac:dyDescent="0.2">
      <c r="A18" s="20"/>
      <c r="B18" s="21"/>
      <c r="C18" s="21"/>
      <c r="D18" s="22"/>
      <c r="E18" s="22"/>
      <c r="F18" s="23" t="str">
        <f t="shared" si="0"/>
        <v/>
      </c>
      <c r="G18" s="23">
        <f t="shared" si="1"/>
        <v>14385.5</v>
      </c>
      <c r="H18" s="24" t="str">
        <f>IF(OR($A18="",$F18=""),"",IF(SUMPRODUCT(('🏦 Relevé Banque'!$F$4:$F$53=$F18)*('🏦 Relevé Banque'!$A$4:$A$53&lt;&gt;"")*(ABS('🏦 Relevé Banque'!$A$4:$A$53-$A18)&lt;='⚙️ Paramètres'!$B$10))&gt;=SUMPRODUCT(($F$4:$F18=$F18)*($A$4:$A18&lt;&gt;"")*(ABS($A$4:$A18-$A18)&lt;='⚙️ Paramètres'!$B$10)),"✔ Rapproché","✘ Non rapproché"))</f>
        <v/>
      </c>
      <c r="I18" s="21"/>
      <c r="J18" s="25" t="str">
        <f>IF($H18="✘ Non rapproché",COUNTIF($H$4:$H18,"✘ Non rapproché"),"")</f>
        <v/>
      </c>
    </row>
    <row r="19" spans="1:10" ht="15" customHeight="1" x14ac:dyDescent="0.2">
      <c r="A19" s="26"/>
      <c r="B19" s="27"/>
      <c r="C19" s="27"/>
      <c r="D19" s="28"/>
      <c r="E19" s="28"/>
      <c r="F19" s="29" t="str">
        <f t="shared" si="0"/>
        <v/>
      </c>
      <c r="G19" s="29">
        <f t="shared" si="1"/>
        <v>14385.5</v>
      </c>
      <c r="H19" s="30" t="str">
        <f>IF(OR($A19="",$F19=""),"",IF(SUMPRODUCT(('🏦 Relevé Banque'!$F$4:$F$53=$F19)*('🏦 Relevé Banque'!$A$4:$A$53&lt;&gt;"")*(ABS('🏦 Relevé Banque'!$A$4:$A$53-$A19)&lt;='⚙️ Paramètres'!$B$10))&gt;=SUMPRODUCT(($F$4:$F19=$F19)*($A$4:$A19&lt;&gt;"")*(ABS($A$4:$A19-$A19)&lt;='⚙️ Paramètres'!$B$10)),"✔ Rapproché","✘ Non rapproché"))</f>
        <v/>
      </c>
      <c r="I19" s="27"/>
      <c r="J19" s="25" t="str">
        <f>IF($H19="✘ Non rapproché",COUNTIF($H$4:$H19,"✘ Non rapproché"),"")</f>
        <v/>
      </c>
    </row>
    <row r="20" spans="1:10" ht="15" customHeight="1" x14ac:dyDescent="0.2">
      <c r="A20" s="20"/>
      <c r="B20" s="21"/>
      <c r="C20" s="21"/>
      <c r="D20" s="22"/>
      <c r="E20" s="22"/>
      <c r="F20" s="23" t="str">
        <f t="shared" si="0"/>
        <v/>
      </c>
      <c r="G20" s="23">
        <f t="shared" si="1"/>
        <v>14385.5</v>
      </c>
      <c r="H20" s="24" t="str">
        <f>IF(OR($A20="",$F20=""),"",IF(SUMPRODUCT(('🏦 Relevé Banque'!$F$4:$F$53=$F20)*('🏦 Relevé Banque'!$A$4:$A$53&lt;&gt;"")*(ABS('🏦 Relevé Banque'!$A$4:$A$53-$A20)&lt;='⚙️ Paramètres'!$B$10))&gt;=SUMPRODUCT(($F$4:$F20=$F20)*($A$4:$A20&lt;&gt;"")*(ABS($A$4:$A20-$A20)&lt;='⚙️ Paramètres'!$B$10)),"✔ Rapproché","✘ Non rapproché"))</f>
        <v/>
      </c>
      <c r="I20" s="21"/>
      <c r="J20" s="25" t="str">
        <f>IF($H20="✘ Non rapproché",COUNTIF($H$4:$H20,"✘ Non rapproché"),"")</f>
        <v/>
      </c>
    </row>
    <row r="21" spans="1:10" ht="15" customHeight="1" x14ac:dyDescent="0.2">
      <c r="A21" s="26"/>
      <c r="B21" s="27"/>
      <c r="C21" s="27"/>
      <c r="D21" s="28"/>
      <c r="E21" s="28"/>
      <c r="F21" s="29" t="str">
        <f t="shared" si="0"/>
        <v/>
      </c>
      <c r="G21" s="29">
        <f t="shared" si="1"/>
        <v>14385.5</v>
      </c>
      <c r="H21" s="30" t="str">
        <f>IF(OR($A21="",$F21=""),"",IF(SUMPRODUCT(('🏦 Relevé Banque'!$F$4:$F$53=$F21)*('🏦 Relevé Banque'!$A$4:$A$53&lt;&gt;"")*(ABS('🏦 Relevé Banque'!$A$4:$A$53-$A21)&lt;='⚙️ Paramètres'!$B$10))&gt;=SUMPRODUCT(($F$4:$F21=$F21)*($A$4:$A21&lt;&gt;"")*(ABS($A$4:$A21-$A21)&lt;='⚙️ Paramètres'!$B$10)),"✔ Rapproché","✘ Non rapproché"))</f>
        <v/>
      </c>
      <c r="I21" s="27"/>
      <c r="J21" s="25" t="str">
        <f>IF($H21="✘ Non rapproché",COUNTIF($H$4:$H21,"✘ Non rapproché"),"")</f>
        <v/>
      </c>
    </row>
    <row r="22" spans="1:10" ht="15" customHeight="1" x14ac:dyDescent="0.2">
      <c r="A22" s="20"/>
      <c r="B22" s="21"/>
      <c r="C22" s="21"/>
      <c r="D22" s="22"/>
      <c r="E22" s="22"/>
      <c r="F22" s="23" t="str">
        <f t="shared" si="0"/>
        <v/>
      </c>
      <c r="G22" s="23">
        <f t="shared" si="1"/>
        <v>14385.5</v>
      </c>
      <c r="H22" s="24" t="str">
        <f>IF(OR($A22="",$F22=""),"",IF(SUMPRODUCT(('🏦 Relevé Banque'!$F$4:$F$53=$F22)*('🏦 Relevé Banque'!$A$4:$A$53&lt;&gt;"")*(ABS('🏦 Relevé Banque'!$A$4:$A$53-$A22)&lt;='⚙️ Paramètres'!$B$10))&gt;=SUMPRODUCT(($F$4:$F22=$F22)*($A$4:$A22&lt;&gt;"")*(ABS($A$4:$A22-$A22)&lt;='⚙️ Paramètres'!$B$10)),"✔ Rapproché","✘ Non rapproché"))</f>
        <v/>
      </c>
      <c r="I22" s="21"/>
      <c r="J22" s="25" t="str">
        <f>IF($H22="✘ Non rapproché",COUNTIF($H$4:$H22,"✘ Non rapproché"),"")</f>
        <v/>
      </c>
    </row>
    <row r="23" spans="1:10" ht="15" customHeight="1" x14ac:dyDescent="0.2">
      <c r="A23" s="26"/>
      <c r="B23" s="27"/>
      <c r="C23" s="27"/>
      <c r="D23" s="28"/>
      <c r="E23" s="28"/>
      <c r="F23" s="29" t="str">
        <f t="shared" si="0"/>
        <v/>
      </c>
      <c r="G23" s="29">
        <f t="shared" si="1"/>
        <v>14385.5</v>
      </c>
      <c r="H23" s="30" t="str">
        <f>IF(OR($A23="",$F23=""),"",IF(SUMPRODUCT(('🏦 Relevé Banque'!$F$4:$F$53=$F23)*('🏦 Relevé Banque'!$A$4:$A$53&lt;&gt;"")*(ABS('🏦 Relevé Banque'!$A$4:$A$53-$A23)&lt;='⚙️ Paramètres'!$B$10))&gt;=SUMPRODUCT(($F$4:$F23=$F23)*($A$4:$A23&lt;&gt;"")*(ABS($A$4:$A23-$A23)&lt;='⚙️ Paramètres'!$B$10)),"✔ Rapproché","✘ Non rapproché"))</f>
        <v/>
      </c>
      <c r="I23" s="27"/>
      <c r="J23" s="25" t="str">
        <f>IF($H23="✘ Non rapproché",COUNTIF($H$4:$H23,"✘ Non rapproché"),"")</f>
        <v/>
      </c>
    </row>
    <row r="24" spans="1:10" ht="15" customHeight="1" x14ac:dyDescent="0.2">
      <c r="A24" s="20"/>
      <c r="B24" s="21"/>
      <c r="C24" s="21"/>
      <c r="D24" s="22"/>
      <c r="E24" s="22"/>
      <c r="F24" s="23" t="str">
        <f t="shared" si="0"/>
        <v/>
      </c>
      <c r="G24" s="23">
        <f t="shared" si="1"/>
        <v>14385.5</v>
      </c>
      <c r="H24" s="24" t="str">
        <f>IF(OR($A24="",$F24=""),"",IF(SUMPRODUCT(('🏦 Relevé Banque'!$F$4:$F$53=$F24)*('🏦 Relevé Banque'!$A$4:$A$53&lt;&gt;"")*(ABS('🏦 Relevé Banque'!$A$4:$A$53-$A24)&lt;='⚙️ Paramètres'!$B$10))&gt;=SUMPRODUCT(($F$4:$F24=$F24)*($A$4:$A24&lt;&gt;"")*(ABS($A$4:$A24-$A24)&lt;='⚙️ Paramètres'!$B$10)),"✔ Rapproché","✘ Non rapproché"))</f>
        <v/>
      </c>
      <c r="I24" s="21"/>
      <c r="J24" s="25" t="str">
        <f>IF($H24="✘ Non rapproché",COUNTIF($H$4:$H24,"✘ Non rapproché"),"")</f>
        <v/>
      </c>
    </row>
    <row r="25" spans="1:10" ht="15" customHeight="1" x14ac:dyDescent="0.2">
      <c r="A25" s="26"/>
      <c r="B25" s="27"/>
      <c r="C25" s="27"/>
      <c r="D25" s="28"/>
      <c r="E25" s="28"/>
      <c r="F25" s="29" t="str">
        <f t="shared" si="0"/>
        <v/>
      </c>
      <c r="G25" s="29">
        <f t="shared" si="1"/>
        <v>14385.5</v>
      </c>
      <c r="H25" s="30" t="str">
        <f>IF(OR($A25="",$F25=""),"",IF(SUMPRODUCT(('🏦 Relevé Banque'!$F$4:$F$53=$F25)*('🏦 Relevé Banque'!$A$4:$A$53&lt;&gt;"")*(ABS('🏦 Relevé Banque'!$A$4:$A$53-$A25)&lt;='⚙️ Paramètres'!$B$10))&gt;=SUMPRODUCT(($F$4:$F25=$F25)*($A$4:$A25&lt;&gt;"")*(ABS($A$4:$A25-$A25)&lt;='⚙️ Paramètres'!$B$10)),"✔ Rapproché","✘ Non rapproché"))</f>
        <v/>
      </c>
      <c r="I25" s="27"/>
      <c r="J25" s="25" t="str">
        <f>IF($H25="✘ Non rapproché",COUNTIF($H$4:$H25,"✘ Non rapproché"),"")</f>
        <v/>
      </c>
    </row>
    <row r="26" spans="1:10" ht="15" customHeight="1" x14ac:dyDescent="0.2">
      <c r="A26" s="20"/>
      <c r="B26" s="21"/>
      <c r="C26" s="21"/>
      <c r="D26" s="22"/>
      <c r="E26" s="22"/>
      <c r="F26" s="23" t="str">
        <f t="shared" si="0"/>
        <v/>
      </c>
      <c r="G26" s="23">
        <f t="shared" si="1"/>
        <v>14385.5</v>
      </c>
      <c r="H26" s="24" t="str">
        <f>IF(OR($A26="",$F26=""),"",IF(SUMPRODUCT(('🏦 Relevé Banque'!$F$4:$F$53=$F26)*('🏦 Relevé Banque'!$A$4:$A$53&lt;&gt;"")*(ABS('🏦 Relevé Banque'!$A$4:$A$53-$A26)&lt;='⚙️ Paramètres'!$B$10))&gt;=SUMPRODUCT(($F$4:$F26=$F26)*($A$4:$A26&lt;&gt;"")*(ABS($A$4:$A26-$A26)&lt;='⚙️ Paramètres'!$B$10)),"✔ Rapproché","✘ Non rapproché"))</f>
        <v/>
      </c>
      <c r="I26" s="21"/>
      <c r="J26" s="25" t="str">
        <f>IF($H26="✘ Non rapproché",COUNTIF($H$4:$H26,"✘ Non rapproché"),"")</f>
        <v/>
      </c>
    </row>
    <row r="27" spans="1:10" ht="15" customHeight="1" x14ac:dyDescent="0.2">
      <c r="A27" s="26"/>
      <c r="B27" s="27"/>
      <c r="C27" s="27"/>
      <c r="D27" s="28"/>
      <c r="E27" s="28"/>
      <c r="F27" s="29" t="str">
        <f t="shared" si="0"/>
        <v/>
      </c>
      <c r="G27" s="29">
        <f t="shared" si="1"/>
        <v>14385.5</v>
      </c>
      <c r="H27" s="30" t="str">
        <f>IF(OR($A27="",$F27=""),"",IF(SUMPRODUCT(('🏦 Relevé Banque'!$F$4:$F$53=$F27)*('🏦 Relevé Banque'!$A$4:$A$53&lt;&gt;"")*(ABS('🏦 Relevé Banque'!$A$4:$A$53-$A27)&lt;='⚙️ Paramètres'!$B$10))&gt;=SUMPRODUCT(($F$4:$F27=$F27)*($A$4:$A27&lt;&gt;"")*(ABS($A$4:$A27-$A27)&lt;='⚙️ Paramètres'!$B$10)),"✔ Rapproché","✘ Non rapproché"))</f>
        <v/>
      </c>
      <c r="I27" s="27"/>
      <c r="J27" s="25" t="str">
        <f>IF($H27="✘ Non rapproché",COUNTIF($H$4:$H27,"✘ Non rapproché"),"")</f>
        <v/>
      </c>
    </row>
    <row r="28" spans="1:10" ht="15" customHeight="1" x14ac:dyDescent="0.2">
      <c r="A28" s="20"/>
      <c r="B28" s="21"/>
      <c r="C28" s="21"/>
      <c r="D28" s="22"/>
      <c r="E28" s="22"/>
      <c r="F28" s="23" t="str">
        <f t="shared" si="0"/>
        <v/>
      </c>
      <c r="G28" s="23">
        <f t="shared" si="1"/>
        <v>14385.5</v>
      </c>
      <c r="H28" s="24" t="str">
        <f>IF(OR($A28="",$F28=""),"",IF(SUMPRODUCT(('🏦 Relevé Banque'!$F$4:$F$53=$F28)*('🏦 Relevé Banque'!$A$4:$A$53&lt;&gt;"")*(ABS('🏦 Relevé Banque'!$A$4:$A$53-$A28)&lt;='⚙️ Paramètres'!$B$10))&gt;=SUMPRODUCT(($F$4:$F28=$F28)*($A$4:$A28&lt;&gt;"")*(ABS($A$4:$A28-$A28)&lt;='⚙️ Paramètres'!$B$10)),"✔ Rapproché","✘ Non rapproché"))</f>
        <v/>
      </c>
      <c r="I28" s="21"/>
      <c r="J28" s="25" t="str">
        <f>IF($H28="✘ Non rapproché",COUNTIF($H$4:$H28,"✘ Non rapproché"),"")</f>
        <v/>
      </c>
    </row>
    <row r="29" spans="1:10" ht="15" customHeight="1" x14ac:dyDescent="0.2">
      <c r="A29" s="26"/>
      <c r="B29" s="27"/>
      <c r="C29" s="27"/>
      <c r="D29" s="28"/>
      <c r="E29" s="28"/>
      <c r="F29" s="29" t="str">
        <f t="shared" si="0"/>
        <v/>
      </c>
      <c r="G29" s="29">
        <f t="shared" si="1"/>
        <v>14385.5</v>
      </c>
      <c r="H29" s="30" t="str">
        <f>IF(OR($A29="",$F29=""),"",IF(SUMPRODUCT(('🏦 Relevé Banque'!$F$4:$F$53=$F29)*('🏦 Relevé Banque'!$A$4:$A$53&lt;&gt;"")*(ABS('🏦 Relevé Banque'!$A$4:$A$53-$A29)&lt;='⚙️ Paramètres'!$B$10))&gt;=SUMPRODUCT(($F$4:$F29=$F29)*($A$4:$A29&lt;&gt;"")*(ABS($A$4:$A29-$A29)&lt;='⚙️ Paramètres'!$B$10)),"✔ Rapproché","✘ Non rapproché"))</f>
        <v/>
      </c>
      <c r="I29" s="27"/>
      <c r="J29" s="25" t="str">
        <f>IF($H29="✘ Non rapproché",COUNTIF($H$4:$H29,"✘ Non rapproché"),"")</f>
        <v/>
      </c>
    </row>
    <row r="30" spans="1:10" ht="15" customHeight="1" x14ac:dyDescent="0.2">
      <c r="A30" s="20"/>
      <c r="B30" s="21"/>
      <c r="C30" s="21"/>
      <c r="D30" s="22"/>
      <c r="E30" s="22"/>
      <c r="F30" s="23" t="str">
        <f t="shared" si="0"/>
        <v/>
      </c>
      <c r="G30" s="23">
        <f t="shared" si="1"/>
        <v>14385.5</v>
      </c>
      <c r="H30" s="24" t="str">
        <f>IF(OR($A30="",$F30=""),"",IF(SUMPRODUCT(('🏦 Relevé Banque'!$F$4:$F$53=$F30)*('🏦 Relevé Banque'!$A$4:$A$53&lt;&gt;"")*(ABS('🏦 Relevé Banque'!$A$4:$A$53-$A30)&lt;='⚙️ Paramètres'!$B$10))&gt;=SUMPRODUCT(($F$4:$F30=$F30)*($A$4:$A30&lt;&gt;"")*(ABS($A$4:$A30-$A30)&lt;='⚙️ Paramètres'!$B$10)),"✔ Rapproché","✘ Non rapproché"))</f>
        <v/>
      </c>
      <c r="I30" s="21"/>
      <c r="J30" s="25" t="str">
        <f>IF($H30="✘ Non rapproché",COUNTIF($H$4:$H30,"✘ Non rapproché"),"")</f>
        <v/>
      </c>
    </row>
    <row r="31" spans="1:10" ht="15" customHeight="1" x14ac:dyDescent="0.2">
      <c r="A31" s="26"/>
      <c r="B31" s="27"/>
      <c r="C31" s="27"/>
      <c r="D31" s="28"/>
      <c r="E31" s="28"/>
      <c r="F31" s="29" t="str">
        <f t="shared" si="0"/>
        <v/>
      </c>
      <c r="G31" s="29">
        <f t="shared" si="1"/>
        <v>14385.5</v>
      </c>
      <c r="H31" s="30" t="str">
        <f>IF(OR($A31="",$F31=""),"",IF(SUMPRODUCT(('🏦 Relevé Banque'!$F$4:$F$53=$F31)*('🏦 Relevé Banque'!$A$4:$A$53&lt;&gt;"")*(ABS('🏦 Relevé Banque'!$A$4:$A$53-$A31)&lt;='⚙️ Paramètres'!$B$10))&gt;=SUMPRODUCT(($F$4:$F31=$F31)*($A$4:$A31&lt;&gt;"")*(ABS($A$4:$A31-$A31)&lt;='⚙️ Paramètres'!$B$10)),"✔ Rapproché","✘ Non rapproché"))</f>
        <v/>
      </c>
      <c r="I31" s="27"/>
      <c r="J31" s="25" t="str">
        <f>IF($H31="✘ Non rapproché",COUNTIF($H$4:$H31,"✘ Non rapproché"),"")</f>
        <v/>
      </c>
    </row>
    <row r="32" spans="1:10" ht="15" customHeight="1" x14ac:dyDescent="0.2">
      <c r="A32" s="20"/>
      <c r="B32" s="21"/>
      <c r="C32" s="21"/>
      <c r="D32" s="22"/>
      <c r="E32" s="22"/>
      <c r="F32" s="23" t="str">
        <f t="shared" si="0"/>
        <v/>
      </c>
      <c r="G32" s="23">
        <f t="shared" si="1"/>
        <v>14385.5</v>
      </c>
      <c r="H32" s="24" t="str">
        <f>IF(OR($A32="",$F32=""),"",IF(SUMPRODUCT(('🏦 Relevé Banque'!$F$4:$F$53=$F32)*('🏦 Relevé Banque'!$A$4:$A$53&lt;&gt;"")*(ABS('🏦 Relevé Banque'!$A$4:$A$53-$A32)&lt;='⚙️ Paramètres'!$B$10))&gt;=SUMPRODUCT(($F$4:$F32=$F32)*($A$4:$A32&lt;&gt;"")*(ABS($A$4:$A32-$A32)&lt;='⚙️ Paramètres'!$B$10)),"✔ Rapproché","✘ Non rapproché"))</f>
        <v/>
      </c>
      <c r="I32" s="21"/>
      <c r="J32" s="25" t="str">
        <f>IF($H32="✘ Non rapproché",COUNTIF($H$4:$H32,"✘ Non rapproché"),"")</f>
        <v/>
      </c>
    </row>
    <row r="33" spans="1:10" ht="15" customHeight="1" x14ac:dyDescent="0.2">
      <c r="A33" s="26"/>
      <c r="B33" s="27"/>
      <c r="C33" s="27"/>
      <c r="D33" s="28"/>
      <c r="E33" s="28"/>
      <c r="F33" s="29" t="str">
        <f t="shared" si="0"/>
        <v/>
      </c>
      <c r="G33" s="29">
        <f t="shared" si="1"/>
        <v>14385.5</v>
      </c>
      <c r="H33" s="30" t="str">
        <f>IF(OR($A33="",$F33=""),"",IF(SUMPRODUCT(('🏦 Relevé Banque'!$F$4:$F$53=$F33)*('🏦 Relevé Banque'!$A$4:$A$53&lt;&gt;"")*(ABS('🏦 Relevé Banque'!$A$4:$A$53-$A33)&lt;='⚙️ Paramètres'!$B$10))&gt;=SUMPRODUCT(($F$4:$F33=$F33)*($A$4:$A33&lt;&gt;"")*(ABS($A$4:$A33-$A33)&lt;='⚙️ Paramètres'!$B$10)),"✔ Rapproché","✘ Non rapproché"))</f>
        <v/>
      </c>
      <c r="I33" s="27"/>
      <c r="J33" s="25" t="str">
        <f>IF($H33="✘ Non rapproché",COUNTIF($H$4:$H33,"✘ Non rapproché"),"")</f>
        <v/>
      </c>
    </row>
    <row r="34" spans="1:10" ht="15" customHeight="1" x14ac:dyDescent="0.2">
      <c r="A34" s="20"/>
      <c r="B34" s="21"/>
      <c r="C34" s="21"/>
      <c r="D34" s="22"/>
      <c r="E34" s="22"/>
      <c r="F34" s="23" t="str">
        <f t="shared" si="0"/>
        <v/>
      </c>
      <c r="G34" s="23">
        <f t="shared" si="1"/>
        <v>14385.5</v>
      </c>
      <c r="H34" s="24" t="str">
        <f>IF(OR($A34="",$F34=""),"",IF(SUMPRODUCT(('🏦 Relevé Banque'!$F$4:$F$53=$F34)*('🏦 Relevé Banque'!$A$4:$A$53&lt;&gt;"")*(ABS('🏦 Relevé Banque'!$A$4:$A$53-$A34)&lt;='⚙️ Paramètres'!$B$10))&gt;=SUMPRODUCT(($F$4:$F34=$F34)*($A$4:$A34&lt;&gt;"")*(ABS($A$4:$A34-$A34)&lt;='⚙️ Paramètres'!$B$10)),"✔ Rapproché","✘ Non rapproché"))</f>
        <v/>
      </c>
      <c r="I34" s="21"/>
      <c r="J34" s="25" t="str">
        <f>IF($H34="✘ Non rapproché",COUNTIF($H$4:$H34,"✘ Non rapproché"),"")</f>
        <v/>
      </c>
    </row>
    <row r="35" spans="1:10" ht="15" customHeight="1" x14ac:dyDescent="0.2">
      <c r="A35" s="26"/>
      <c r="B35" s="27"/>
      <c r="C35" s="27"/>
      <c r="D35" s="28"/>
      <c r="E35" s="28"/>
      <c r="F35" s="29" t="str">
        <f t="shared" si="0"/>
        <v/>
      </c>
      <c r="G35" s="29">
        <f t="shared" si="1"/>
        <v>14385.5</v>
      </c>
      <c r="H35" s="30" t="str">
        <f>IF(OR($A35="",$F35=""),"",IF(SUMPRODUCT(('🏦 Relevé Banque'!$F$4:$F$53=$F35)*('🏦 Relevé Banque'!$A$4:$A$53&lt;&gt;"")*(ABS('🏦 Relevé Banque'!$A$4:$A$53-$A35)&lt;='⚙️ Paramètres'!$B$10))&gt;=SUMPRODUCT(($F$4:$F35=$F35)*($A$4:$A35&lt;&gt;"")*(ABS($A$4:$A35-$A35)&lt;='⚙️ Paramètres'!$B$10)),"✔ Rapproché","✘ Non rapproché"))</f>
        <v/>
      </c>
      <c r="I35" s="27"/>
      <c r="J35" s="25" t="str">
        <f>IF($H35="✘ Non rapproché",COUNTIF($H$4:$H35,"✘ Non rapproché"),"")</f>
        <v/>
      </c>
    </row>
    <row r="36" spans="1:10" ht="15" customHeight="1" x14ac:dyDescent="0.2">
      <c r="A36" s="20"/>
      <c r="B36" s="21"/>
      <c r="C36" s="21"/>
      <c r="D36" s="22"/>
      <c r="E36" s="22"/>
      <c r="F36" s="23" t="str">
        <f t="shared" ref="F36:F67" si="2">IF(AND(D36="",E36=""),"",N(E36)-N(D36))</f>
        <v/>
      </c>
      <c r="G36" s="23">
        <f t="shared" si="1"/>
        <v>14385.5</v>
      </c>
      <c r="H36" s="24" t="str">
        <f>IF(OR($A36="",$F36=""),"",IF(SUMPRODUCT(('🏦 Relevé Banque'!$F$4:$F$53=$F36)*('🏦 Relevé Banque'!$A$4:$A$53&lt;&gt;"")*(ABS('🏦 Relevé Banque'!$A$4:$A$53-$A36)&lt;='⚙️ Paramètres'!$B$10))&gt;=SUMPRODUCT(($F$4:$F36=$F36)*($A$4:$A36&lt;&gt;"")*(ABS($A$4:$A36-$A36)&lt;='⚙️ Paramètres'!$B$10)),"✔ Rapproché","✘ Non rapproché"))</f>
        <v/>
      </c>
      <c r="I36" s="21"/>
      <c r="J36" s="25" t="str">
        <f>IF($H36="✘ Non rapproché",COUNTIF($H$4:$H36,"✘ Non rapproché"),"")</f>
        <v/>
      </c>
    </row>
    <row r="37" spans="1:10" ht="15" customHeight="1" x14ac:dyDescent="0.2">
      <c r="A37" s="26"/>
      <c r="B37" s="27"/>
      <c r="C37" s="27"/>
      <c r="D37" s="28"/>
      <c r="E37" s="28"/>
      <c r="F37" s="29" t="str">
        <f t="shared" si="2"/>
        <v/>
      </c>
      <c r="G37" s="29">
        <f t="shared" ref="G37:G68" si="3">IF(F37="",G36,G36+F37)</f>
        <v>14385.5</v>
      </c>
      <c r="H37" s="30" t="str">
        <f>IF(OR($A37="",$F37=""),"",IF(SUMPRODUCT(('🏦 Relevé Banque'!$F$4:$F$53=$F37)*('🏦 Relevé Banque'!$A$4:$A$53&lt;&gt;"")*(ABS('🏦 Relevé Banque'!$A$4:$A$53-$A37)&lt;='⚙️ Paramètres'!$B$10))&gt;=SUMPRODUCT(($F$4:$F37=$F37)*($A$4:$A37&lt;&gt;"")*(ABS($A$4:$A37-$A37)&lt;='⚙️ Paramètres'!$B$10)),"✔ Rapproché","✘ Non rapproché"))</f>
        <v/>
      </c>
      <c r="I37" s="27"/>
      <c r="J37" s="25" t="str">
        <f>IF($H37="✘ Non rapproché",COUNTIF($H$4:$H37,"✘ Non rapproché"),"")</f>
        <v/>
      </c>
    </row>
    <row r="38" spans="1:10" ht="15" customHeight="1" x14ac:dyDescent="0.2">
      <c r="A38" s="20"/>
      <c r="B38" s="21"/>
      <c r="C38" s="21"/>
      <c r="D38" s="22"/>
      <c r="E38" s="22"/>
      <c r="F38" s="23" t="str">
        <f t="shared" si="2"/>
        <v/>
      </c>
      <c r="G38" s="23">
        <f t="shared" si="3"/>
        <v>14385.5</v>
      </c>
      <c r="H38" s="24" t="str">
        <f>IF(OR($A38="",$F38=""),"",IF(SUMPRODUCT(('🏦 Relevé Banque'!$F$4:$F$53=$F38)*('🏦 Relevé Banque'!$A$4:$A$53&lt;&gt;"")*(ABS('🏦 Relevé Banque'!$A$4:$A$53-$A38)&lt;='⚙️ Paramètres'!$B$10))&gt;=SUMPRODUCT(($F$4:$F38=$F38)*($A$4:$A38&lt;&gt;"")*(ABS($A$4:$A38-$A38)&lt;='⚙️ Paramètres'!$B$10)),"✔ Rapproché","✘ Non rapproché"))</f>
        <v/>
      </c>
      <c r="I38" s="21"/>
      <c r="J38" s="25" t="str">
        <f>IF($H38="✘ Non rapproché",COUNTIF($H$4:$H38,"✘ Non rapproché"),"")</f>
        <v/>
      </c>
    </row>
    <row r="39" spans="1:10" ht="15" customHeight="1" x14ac:dyDescent="0.2">
      <c r="A39" s="26"/>
      <c r="B39" s="27"/>
      <c r="C39" s="27"/>
      <c r="D39" s="28"/>
      <c r="E39" s="28"/>
      <c r="F39" s="29" t="str">
        <f t="shared" si="2"/>
        <v/>
      </c>
      <c r="G39" s="29">
        <f t="shared" si="3"/>
        <v>14385.5</v>
      </c>
      <c r="H39" s="30" t="str">
        <f>IF(OR($A39="",$F39=""),"",IF(SUMPRODUCT(('🏦 Relevé Banque'!$F$4:$F$53=$F39)*('🏦 Relevé Banque'!$A$4:$A$53&lt;&gt;"")*(ABS('🏦 Relevé Banque'!$A$4:$A$53-$A39)&lt;='⚙️ Paramètres'!$B$10))&gt;=SUMPRODUCT(($F$4:$F39=$F39)*($A$4:$A39&lt;&gt;"")*(ABS($A$4:$A39-$A39)&lt;='⚙️ Paramètres'!$B$10)),"✔ Rapproché","✘ Non rapproché"))</f>
        <v/>
      </c>
      <c r="I39" s="27"/>
      <c r="J39" s="25" t="str">
        <f>IF($H39="✘ Non rapproché",COUNTIF($H$4:$H39,"✘ Non rapproché"),"")</f>
        <v/>
      </c>
    </row>
    <row r="40" spans="1:10" ht="15" customHeight="1" x14ac:dyDescent="0.2">
      <c r="A40" s="20"/>
      <c r="B40" s="21"/>
      <c r="C40" s="21"/>
      <c r="D40" s="22"/>
      <c r="E40" s="22"/>
      <c r="F40" s="23" t="str">
        <f t="shared" si="2"/>
        <v/>
      </c>
      <c r="G40" s="23">
        <f t="shared" si="3"/>
        <v>14385.5</v>
      </c>
      <c r="H40" s="24" t="str">
        <f>IF(OR($A40="",$F40=""),"",IF(SUMPRODUCT(('🏦 Relevé Banque'!$F$4:$F$53=$F40)*('🏦 Relevé Banque'!$A$4:$A$53&lt;&gt;"")*(ABS('🏦 Relevé Banque'!$A$4:$A$53-$A40)&lt;='⚙️ Paramètres'!$B$10))&gt;=SUMPRODUCT(($F$4:$F40=$F40)*($A$4:$A40&lt;&gt;"")*(ABS($A$4:$A40-$A40)&lt;='⚙️ Paramètres'!$B$10)),"✔ Rapproché","✘ Non rapproché"))</f>
        <v/>
      </c>
      <c r="I40" s="21"/>
      <c r="J40" s="25" t="str">
        <f>IF($H40="✘ Non rapproché",COUNTIF($H$4:$H40,"✘ Non rapproché"),"")</f>
        <v/>
      </c>
    </row>
    <row r="41" spans="1:10" ht="15" customHeight="1" x14ac:dyDescent="0.2">
      <c r="A41" s="26"/>
      <c r="B41" s="27"/>
      <c r="C41" s="27"/>
      <c r="D41" s="28"/>
      <c r="E41" s="28"/>
      <c r="F41" s="29" t="str">
        <f t="shared" si="2"/>
        <v/>
      </c>
      <c r="G41" s="29">
        <f t="shared" si="3"/>
        <v>14385.5</v>
      </c>
      <c r="H41" s="30" t="str">
        <f>IF(OR($A41="",$F41=""),"",IF(SUMPRODUCT(('🏦 Relevé Banque'!$F$4:$F$53=$F41)*('🏦 Relevé Banque'!$A$4:$A$53&lt;&gt;"")*(ABS('🏦 Relevé Banque'!$A$4:$A$53-$A41)&lt;='⚙️ Paramètres'!$B$10))&gt;=SUMPRODUCT(($F$4:$F41=$F41)*($A$4:$A41&lt;&gt;"")*(ABS($A$4:$A41-$A41)&lt;='⚙️ Paramètres'!$B$10)),"✔ Rapproché","✘ Non rapproché"))</f>
        <v/>
      </c>
      <c r="I41" s="27"/>
      <c r="J41" s="25" t="str">
        <f>IF($H41="✘ Non rapproché",COUNTIF($H$4:$H41,"✘ Non rapproché"),"")</f>
        <v/>
      </c>
    </row>
    <row r="42" spans="1:10" ht="15" customHeight="1" x14ac:dyDescent="0.2">
      <c r="A42" s="20"/>
      <c r="B42" s="21"/>
      <c r="C42" s="21"/>
      <c r="D42" s="22"/>
      <c r="E42" s="22"/>
      <c r="F42" s="23" t="str">
        <f t="shared" si="2"/>
        <v/>
      </c>
      <c r="G42" s="23">
        <f t="shared" si="3"/>
        <v>14385.5</v>
      </c>
      <c r="H42" s="24" t="str">
        <f>IF(OR($A42="",$F42=""),"",IF(SUMPRODUCT(('🏦 Relevé Banque'!$F$4:$F$53=$F42)*('🏦 Relevé Banque'!$A$4:$A$53&lt;&gt;"")*(ABS('🏦 Relevé Banque'!$A$4:$A$53-$A42)&lt;='⚙️ Paramètres'!$B$10))&gt;=SUMPRODUCT(($F$4:$F42=$F42)*($A$4:$A42&lt;&gt;"")*(ABS($A$4:$A42-$A42)&lt;='⚙️ Paramètres'!$B$10)),"✔ Rapproché","✘ Non rapproché"))</f>
        <v/>
      </c>
      <c r="I42" s="21"/>
      <c r="J42" s="25" t="str">
        <f>IF($H42="✘ Non rapproché",COUNTIF($H$4:$H42,"✘ Non rapproché"),"")</f>
        <v/>
      </c>
    </row>
    <row r="43" spans="1:10" ht="15" customHeight="1" x14ac:dyDescent="0.2">
      <c r="A43" s="26"/>
      <c r="B43" s="27"/>
      <c r="C43" s="27"/>
      <c r="D43" s="28"/>
      <c r="E43" s="28"/>
      <c r="F43" s="29" t="str">
        <f t="shared" si="2"/>
        <v/>
      </c>
      <c r="G43" s="29">
        <f t="shared" si="3"/>
        <v>14385.5</v>
      </c>
      <c r="H43" s="30" t="str">
        <f>IF(OR($A43="",$F43=""),"",IF(SUMPRODUCT(('🏦 Relevé Banque'!$F$4:$F$53=$F43)*('🏦 Relevé Banque'!$A$4:$A$53&lt;&gt;"")*(ABS('🏦 Relevé Banque'!$A$4:$A$53-$A43)&lt;='⚙️ Paramètres'!$B$10))&gt;=SUMPRODUCT(($F$4:$F43=$F43)*($A$4:$A43&lt;&gt;"")*(ABS($A$4:$A43-$A43)&lt;='⚙️ Paramètres'!$B$10)),"✔ Rapproché","✘ Non rapproché"))</f>
        <v/>
      </c>
      <c r="I43" s="27"/>
      <c r="J43" s="25" t="str">
        <f>IF($H43="✘ Non rapproché",COUNTIF($H$4:$H43,"✘ Non rapproché"),"")</f>
        <v/>
      </c>
    </row>
    <row r="44" spans="1:10" ht="15" customHeight="1" x14ac:dyDescent="0.2">
      <c r="A44" s="20"/>
      <c r="B44" s="21"/>
      <c r="C44" s="21"/>
      <c r="D44" s="22"/>
      <c r="E44" s="22"/>
      <c r="F44" s="23" t="str">
        <f t="shared" si="2"/>
        <v/>
      </c>
      <c r="G44" s="23">
        <f t="shared" si="3"/>
        <v>14385.5</v>
      </c>
      <c r="H44" s="24" t="str">
        <f>IF(OR($A44="",$F44=""),"",IF(SUMPRODUCT(('🏦 Relevé Banque'!$F$4:$F$53=$F44)*('🏦 Relevé Banque'!$A$4:$A$53&lt;&gt;"")*(ABS('🏦 Relevé Banque'!$A$4:$A$53-$A44)&lt;='⚙️ Paramètres'!$B$10))&gt;=SUMPRODUCT(($F$4:$F44=$F44)*($A$4:$A44&lt;&gt;"")*(ABS($A$4:$A44-$A44)&lt;='⚙️ Paramètres'!$B$10)),"✔ Rapproché","✘ Non rapproché"))</f>
        <v/>
      </c>
      <c r="I44" s="21"/>
      <c r="J44" s="25" t="str">
        <f>IF($H44="✘ Non rapproché",COUNTIF($H$4:$H44,"✘ Non rapproché"),"")</f>
        <v/>
      </c>
    </row>
    <row r="45" spans="1:10" ht="15" customHeight="1" x14ac:dyDescent="0.2">
      <c r="A45" s="26"/>
      <c r="B45" s="27"/>
      <c r="C45" s="27"/>
      <c r="D45" s="28"/>
      <c r="E45" s="28"/>
      <c r="F45" s="29" t="str">
        <f t="shared" si="2"/>
        <v/>
      </c>
      <c r="G45" s="29">
        <f t="shared" si="3"/>
        <v>14385.5</v>
      </c>
      <c r="H45" s="30" t="str">
        <f>IF(OR($A45="",$F45=""),"",IF(SUMPRODUCT(('🏦 Relevé Banque'!$F$4:$F$53=$F45)*('🏦 Relevé Banque'!$A$4:$A$53&lt;&gt;"")*(ABS('🏦 Relevé Banque'!$A$4:$A$53-$A45)&lt;='⚙️ Paramètres'!$B$10))&gt;=SUMPRODUCT(($F$4:$F45=$F45)*($A$4:$A45&lt;&gt;"")*(ABS($A$4:$A45-$A45)&lt;='⚙️ Paramètres'!$B$10)),"✔ Rapproché","✘ Non rapproché"))</f>
        <v/>
      </c>
      <c r="I45" s="27"/>
      <c r="J45" s="25" t="str">
        <f>IF($H45="✘ Non rapproché",COUNTIF($H$4:$H45,"✘ Non rapproché"),"")</f>
        <v/>
      </c>
    </row>
    <row r="46" spans="1:10" ht="15" customHeight="1" x14ac:dyDescent="0.2">
      <c r="A46" s="20"/>
      <c r="B46" s="21"/>
      <c r="C46" s="21"/>
      <c r="D46" s="22"/>
      <c r="E46" s="22"/>
      <c r="F46" s="23" t="str">
        <f t="shared" si="2"/>
        <v/>
      </c>
      <c r="G46" s="23">
        <f t="shared" si="3"/>
        <v>14385.5</v>
      </c>
      <c r="H46" s="24" t="str">
        <f>IF(OR($A46="",$F46=""),"",IF(SUMPRODUCT(('🏦 Relevé Banque'!$F$4:$F$53=$F46)*('🏦 Relevé Banque'!$A$4:$A$53&lt;&gt;"")*(ABS('🏦 Relevé Banque'!$A$4:$A$53-$A46)&lt;='⚙️ Paramètres'!$B$10))&gt;=SUMPRODUCT(($F$4:$F46=$F46)*($A$4:$A46&lt;&gt;"")*(ABS($A$4:$A46-$A46)&lt;='⚙️ Paramètres'!$B$10)),"✔ Rapproché","✘ Non rapproché"))</f>
        <v/>
      </c>
      <c r="I46" s="21"/>
      <c r="J46" s="25" t="str">
        <f>IF($H46="✘ Non rapproché",COUNTIF($H$4:$H46,"✘ Non rapproché"),"")</f>
        <v/>
      </c>
    </row>
    <row r="47" spans="1:10" ht="15" customHeight="1" x14ac:dyDescent="0.2">
      <c r="A47" s="26"/>
      <c r="B47" s="27"/>
      <c r="C47" s="27"/>
      <c r="D47" s="28"/>
      <c r="E47" s="28"/>
      <c r="F47" s="29" t="str">
        <f t="shared" si="2"/>
        <v/>
      </c>
      <c r="G47" s="29">
        <f t="shared" si="3"/>
        <v>14385.5</v>
      </c>
      <c r="H47" s="30" t="str">
        <f>IF(OR($A47="",$F47=""),"",IF(SUMPRODUCT(('🏦 Relevé Banque'!$F$4:$F$53=$F47)*('🏦 Relevé Banque'!$A$4:$A$53&lt;&gt;"")*(ABS('🏦 Relevé Banque'!$A$4:$A$53-$A47)&lt;='⚙️ Paramètres'!$B$10))&gt;=SUMPRODUCT(($F$4:$F47=$F47)*($A$4:$A47&lt;&gt;"")*(ABS($A$4:$A47-$A47)&lt;='⚙️ Paramètres'!$B$10)),"✔ Rapproché","✘ Non rapproché"))</f>
        <v/>
      </c>
      <c r="I47" s="27"/>
      <c r="J47" s="25" t="str">
        <f>IF($H47="✘ Non rapproché",COUNTIF($H$4:$H47,"✘ Non rapproché"),"")</f>
        <v/>
      </c>
    </row>
    <row r="48" spans="1:10" ht="15" customHeight="1" x14ac:dyDescent="0.2">
      <c r="A48" s="20"/>
      <c r="B48" s="21"/>
      <c r="C48" s="21"/>
      <c r="D48" s="22"/>
      <c r="E48" s="22"/>
      <c r="F48" s="23" t="str">
        <f t="shared" si="2"/>
        <v/>
      </c>
      <c r="G48" s="23">
        <f t="shared" si="3"/>
        <v>14385.5</v>
      </c>
      <c r="H48" s="24" t="str">
        <f>IF(OR($A48="",$F48=""),"",IF(SUMPRODUCT(('🏦 Relevé Banque'!$F$4:$F$53=$F48)*('🏦 Relevé Banque'!$A$4:$A$53&lt;&gt;"")*(ABS('🏦 Relevé Banque'!$A$4:$A$53-$A48)&lt;='⚙️ Paramètres'!$B$10))&gt;=SUMPRODUCT(($F$4:$F48=$F48)*($A$4:$A48&lt;&gt;"")*(ABS($A$4:$A48-$A48)&lt;='⚙️ Paramètres'!$B$10)),"✔ Rapproché","✘ Non rapproché"))</f>
        <v/>
      </c>
      <c r="I48" s="21"/>
      <c r="J48" s="25" t="str">
        <f>IF($H48="✘ Non rapproché",COUNTIF($H$4:$H48,"✘ Non rapproché"),"")</f>
        <v/>
      </c>
    </row>
    <row r="49" spans="1:10" ht="15" customHeight="1" x14ac:dyDescent="0.2">
      <c r="A49" s="26"/>
      <c r="B49" s="27"/>
      <c r="C49" s="27"/>
      <c r="D49" s="28"/>
      <c r="E49" s="28"/>
      <c r="F49" s="29" t="str">
        <f t="shared" si="2"/>
        <v/>
      </c>
      <c r="G49" s="29">
        <f t="shared" si="3"/>
        <v>14385.5</v>
      </c>
      <c r="H49" s="30" t="str">
        <f>IF(OR($A49="",$F49=""),"",IF(SUMPRODUCT(('🏦 Relevé Banque'!$F$4:$F$53=$F49)*('🏦 Relevé Banque'!$A$4:$A$53&lt;&gt;"")*(ABS('🏦 Relevé Banque'!$A$4:$A$53-$A49)&lt;='⚙️ Paramètres'!$B$10))&gt;=SUMPRODUCT(($F$4:$F49=$F49)*($A$4:$A49&lt;&gt;"")*(ABS($A$4:$A49-$A49)&lt;='⚙️ Paramètres'!$B$10)),"✔ Rapproché","✘ Non rapproché"))</f>
        <v/>
      </c>
      <c r="I49" s="27"/>
      <c r="J49" s="25" t="str">
        <f>IF($H49="✘ Non rapproché",COUNTIF($H$4:$H49,"✘ Non rapproché"),"")</f>
        <v/>
      </c>
    </row>
    <row r="50" spans="1:10" ht="15" customHeight="1" x14ac:dyDescent="0.2">
      <c r="A50" s="20"/>
      <c r="B50" s="21"/>
      <c r="C50" s="21"/>
      <c r="D50" s="22"/>
      <c r="E50" s="22"/>
      <c r="F50" s="23" t="str">
        <f t="shared" si="2"/>
        <v/>
      </c>
      <c r="G50" s="23">
        <f t="shared" si="3"/>
        <v>14385.5</v>
      </c>
      <c r="H50" s="24" t="str">
        <f>IF(OR($A50="",$F50=""),"",IF(SUMPRODUCT(('🏦 Relevé Banque'!$F$4:$F$53=$F50)*('🏦 Relevé Banque'!$A$4:$A$53&lt;&gt;"")*(ABS('🏦 Relevé Banque'!$A$4:$A$53-$A50)&lt;='⚙️ Paramètres'!$B$10))&gt;=SUMPRODUCT(($F$4:$F50=$F50)*($A$4:$A50&lt;&gt;"")*(ABS($A$4:$A50-$A50)&lt;='⚙️ Paramètres'!$B$10)),"✔ Rapproché","✘ Non rapproché"))</f>
        <v/>
      </c>
      <c r="I50" s="21"/>
      <c r="J50" s="25" t="str">
        <f>IF($H50="✘ Non rapproché",COUNTIF($H$4:$H50,"✘ Non rapproché"),"")</f>
        <v/>
      </c>
    </row>
    <row r="51" spans="1:10" ht="15" customHeight="1" x14ac:dyDescent="0.2">
      <c r="A51" s="26"/>
      <c r="B51" s="27"/>
      <c r="C51" s="27"/>
      <c r="D51" s="28"/>
      <c r="E51" s="28"/>
      <c r="F51" s="29" t="str">
        <f t="shared" si="2"/>
        <v/>
      </c>
      <c r="G51" s="29">
        <f t="shared" si="3"/>
        <v>14385.5</v>
      </c>
      <c r="H51" s="30" t="str">
        <f>IF(OR($A51="",$F51=""),"",IF(SUMPRODUCT(('🏦 Relevé Banque'!$F$4:$F$53=$F51)*('🏦 Relevé Banque'!$A$4:$A$53&lt;&gt;"")*(ABS('🏦 Relevé Banque'!$A$4:$A$53-$A51)&lt;='⚙️ Paramètres'!$B$10))&gt;=SUMPRODUCT(($F$4:$F51=$F51)*($A$4:$A51&lt;&gt;"")*(ABS($A$4:$A51-$A51)&lt;='⚙️ Paramètres'!$B$10)),"✔ Rapproché","✘ Non rapproché"))</f>
        <v/>
      </c>
      <c r="I51" s="27"/>
      <c r="J51" s="25" t="str">
        <f>IF($H51="✘ Non rapproché",COUNTIF($H$4:$H51,"✘ Non rapproché"),"")</f>
        <v/>
      </c>
    </row>
    <row r="52" spans="1:10" ht="15" customHeight="1" x14ac:dyDescent="0.2">
      <c r="A52" s="20"/>
      <c r="B52" s="21"/>
      <c r="C52" s="21"/>
      <c r="D52" s="22"/>
      <c r="E52" s="22"/>
      <c r="F52" s="23" t="str">
        <f t="shared" si="2"/>
        <v/>
      </c>
      <c r="G52" s="23">
        <f t="shared" si="3"/>
        <v>14385.5</v>
      </c>
      <c r="H52" s="24" t="str">
        <f>IF(OR($A52="",$F52=""),"",IF(SUMPRODUCT(('🏦 Relevé Banque'!$F$4:$F$53=$F52)*('🏦 Relevé Banque'!$A$4:$A$53&lt;&gt;"")*(ABS('🏦 Relevé Banque'!$A$4:$A$53-$A52)&lt;='⚙️ Paramètres'!$B$10))&gt;=SUMPRODUCT(($F$4:$F52=$F52)*($A$4:$A52&lt;&gt;"")*(ABS($A$4:$A52-$A52)&lt;='⚙️ Paramètres'!$B$10)),"✔ Rapproché","✘ Non rapproché"))</f>
        <v/>
      </c>
      <c r="I52" s="21"/>
      <c r="J52" s="25" t="str">
        <f>IF($H52="✘ Non rapproché",COUNTIF($H$4:$H52,"✘ Non rapproché"),"")</f>
        <v/>
      </c>
    </row>
    <row r="53" spans="1:10" ht="15" customHeight="1" x14ac:dyDescent="0.2">
      <c r="A53" s="26"/>
      <c r="B53" s="27"/>
      <c r="C53" s="27"/>
      <c r="D53" s="28"/>
      <c r="E53" s="28"/>
      <c r="F53" s="29" t="str">
        <f t="shared" si="2"/>
        <v/>
      </c>
      <c r="G53" s="29">
        <f t="shared" si="3"/>
        <v>14385.5</v>
      </c>
      <c r="H53" s="30" t="str">
        <f>IF(OR($A53="",$F53=""),"",IF(SUMPRODUCT(('🏦 Relevé Banque'!$F$4:$F$53=$F53)*('🏦 Relevé Banque'!$A$4:$A$53&lt;&gt;"")*(ABS('🏦 Relevé Banque'!$A$4:$A$53-$A53)&lt;='⚙️ Paramètres'!$B$10))&gt;=SUMPRODUCT(($F$4:$F53=$F53)*($A$4:$A53&lt;&gt;"")*(ABS($A$4:$A53-$A53)&lt;='⚙️ Paramètres'!$B$10)),"✔ Rapproché","✘ Non rapproché"))</f>
        <v/>
      </c>
      <c r="I53" s="27"/>
      <c r="J53" s="25" t="str">
        <f>IF($H53="✘ Non rapproché",COUNTIF($H$4:$H53,"✘ Non rapproché"),"")</f>
        <v/>
      </c>
    </row>
    <row r="54" spans="1:10" ht="15" customHeight="1" x14ac:dyDescent="0.2">
      <c r="A54" s="7" t="s">
        <v>60</v>
      </c>
      <c r="B54" s="7"/>
      <c r="C54" s="7"/>
      <c r="D54" s="31">
        <f>SUM(D4:D53)</f>
        <v>5395</v>
      </c>
      <c r="E54" s="31">
        <f>SUM(E4:E53)</f>
        <v>4780.5</v>
      </c>
      <c r="F54" s="31">
        <f>SUM(F4:F53)</f>
        <v>-614.5</v>
      </c>
      <c r="G54" s="31">
        <f>G53</f>
        <v>14385.5</v>
      </c>
      <c r="H54" s="32"/>
      <c r="I54" s="32"/>
    </row>
  </sheetData>
  <mergeCells count="2">
    <mergeCell ref="A1:I1"/>
    <mergeCell ref="A54:C54"/>
  </mergeCells>
  <conditionalFormatting sqref="H4:H53">
    <cfRule type="expression" dxfId="1" priority="2">
      <formula>$H4="✔ Rapproché"</formula>
    </cfRule>
    <cfRule type="expression" dxfId="0" priority="3">
      <formula>$H4="✘ Non rapproché"</formula>
    </cfRule>
  </conditionalFormatting>
  <pageMargins left="0.75" right="0.75" top="1" bottom="1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00000"/>
  </sheetPr>
  <dimension ref="A1:F44"/>
  <sheetViews>
    <sheetView showGridLines="0" zoomScaleNormal="100" workbookViewId="0">
      <selection activeCell="A16" sqref="A16:F16"/>
    </sheetView>
  </sheetViews>
  <sheetFormatPr baseColWidth="10" defaultColWidth="8.6640625" defaultRowHeight="15" x14ac:dyDescent="0.2"/>
  <cols>
    <col min="1" max="1" width="13" customWidth="1"/>
    <col min="2" max="2" width="24" customWidth="1"/>
    <col min="3" max="3" width="14" customWidth="1"/>
    <col min="4" max="4" width="13" customWidth="1"/>
    <col min="5" max="5" width="24" customWidth="1"/>
    <col min="6" max="6" width="14" customWidth="1"/>
  </cols>
  <sheetData>
    <row r="1" spans="1:6" ht="30" customHeight="1" x14ac:dyDescent="0.2">
      <c r="A1" s="10" t="s">
        <v>82</v>
      </c>
      <c r="B1" s="10"/>
      <c r="C1" s="10"/>
      <c r="D1" s="10"/>
      <c r="E1" s="10"/>
      <c r="F1" s="10"/>
    </row>
    <row r="3" spans="1:6" ht="15" customHeight="1" x14ac:dyDescent="0.2">
      <c r="A3" s="6" t="s">
        <v>83</v>
      </c>
      <c r="B3" s="6"/>
      <c r="C3" s="6"/>
      <c r="D3" s="6"/>
      <c r="E3" s="6"/>
      <c r="F3" s="6"/>
    </row>
    <row r="4" spans="1:6" ht="21.75" customHeight="1" x14ac:dyDescent="0.2">
      <c r="A4" s="5" t="s">
        <v>84</v>
      </c>
      <c r="B4" s="5"/>
      <c r="C4" s="5"/>
      <c r="D4" s="4">
        <f>'🏦 Relevé Banque'!G54</f>
        <v>9526.9500000000007</v>
      </c>
      <c r="E4" s="4"/>
      <c r="F4" s="4"/>
    </row>
    <row r="5" spans="1:6" ht="21.75" customHeight="1" x14ac:dyDescent="0.2">
      <c r="A5" s="5" t="s">
        <v>85</v>
      </c>
      <c r="B5" s="5"/>
      <c r="C5" s="5"/>
      <c r="D5" s="4">
        <f>'📒 Comptabilité'!G54</f>
        <v>14385.5</v>
      </c>
      <c r="E5" s="4"/>
      <c r="F5" s="4"/>
    </row>
    <row r="6" spans="1:6" ht="25.5" customHeight="1" x14ac:dyDescent="0.2">
      <c r="A6" s="5" t="s">
        <v>86</v>
      </c>
      <c r="B6" s="5"/>
      <c r="C6" s="5"/>
      <c r="D6" s="3">
        <f>D4-D5</f>
        <v>-4858.5499999999993</v>
      </c>
      <c r="E6" s="3"/>
      <c r="F6" s="3"/>
    </row>
    <row r="8" spans="1:6" ht="15" customHeight="1" x14ac:dyDescent="0.2">
      <c r="A8" s="6" t="s">
        <v>87</v>
      </c>
      <c r="B8" s="6"/>
      <c r="C8" s="6"/>
      <c r="D8" s="6"/>
      <c r="E8" s="6"/>
      <c r="F8" s="6"/>
    </row>
    <row r="9" spans="1:6" ht="21.75" customHeight="1" x14ac:dyDescent="0.2">
      <c r="A9" s="5" t="s">
        <v>88</v>
      </c>
      <c r="B9" s="5"/>
      <c r="C9" s="5"/>
      <c r="D9" s="4">
        <f>COUNTIF('🏦 Relevé Banque'!H4:H53,"✔ Rapproché")</f>
        <v>7</v>
      </c>
      <c r="E9" s="4"/>
      <c r="F9" s="4"/>
    </row>
    <row r="10" spans="1:6" ht="21.75" customHeight="1" x14ac:dyDescent="0.2">
      <c r="A10" s="5" t="s">
        <v>89</v>
      </c>
      <c r="B10" s="5"/>
      <c r="C10" s="5"/>
      <c r="D10" s="2">
        <f>COUNTIF('🏦 Relevé Banque'!H4:H53,"✘ Non rapproché")</f>
        <v>3</v>
      </c>
      <c r="E10" s="2"/>
      <c r="F10" s="2"/>
    </row>
    <row r="11" spans="1:6" ht="21.75" customHeight="1" x14ac:dyDescent="0.2">
      <c r="A11" s="5" t="s">
        <v>90</v>
      </c>
      <c r="B11" s="5"/>
      <c r="C11" s="5"/>
      <c r="D11" s="4">
        <f>COUNTIF('📒 Comptabilité'!H4:H53,"✔ Rapproché")</f>
        <v>7</v>
      </c>
      <c r="E11" s="4"/>
      <c r="F11" s="4"/>
    </row>
    <row r="12" spans="1:6" ht="21.75" customHeight="1" x14ac:dyDescent="0.2">
      <c r="A12" s="5" t="s">
        <v>91</v>
      </c>
      <c r="B12" s="5"/>
      <c r="C12" s="5"/>
      <c r="D12" s="2">
        <f>COUNTIF('📒 Comptabilité'!H4:H53,"✘ Non rapproché")</f>
        <v>3</v>
      </c>
      <c r="E12" s="2"/>
      <c r="F12" s="2"/>
    </row>
    <row r="13" spans="1:6" ht="21.75" customHeight="1" x14ac:dyDescent="0.2">
      <c r="A13" s="5" t="s">
        <v>92</v>
      </c>
      <c r="B13" s="5"/>
      <c r="C13" s="5"/>
      <c r="D13" s="1">
        <f>'⚙️ Paramètres'!$B$10</f>
        <v>15</v>
      </c>
      <c r="E13" s="1"/>
      <c r="F13" s="1"/>
    </row>
    <row r="15" spans="1:6" ht="15" customHeight="1" x14ac:dyDescent="0.2">
      <c r="A15" s="40" t="s">
        <v>93</v>
      </c>
      <c r="B15" s="40"/>
      <c r="C15" s="40"/>
      <c r="D15" s="40"/>
      <c r="E15" s="40"/>
      <c r="F15" s="40"/>
    </row>
    <row r="16" spans="1:6" ht="30" customHeight="1" x14ac:dyDescent="0.2">
      <c r="A16" s="41" t="str">
        <f>IF(AND(D6=0,D10=0,D12=0),"✅ RAPPROCHEMENT COMPLET – tout est rapproché et l'écart est nul","⚠️ RAPPROCHEMENT INCOMPLET – voir les lignes non rapprochées ci-dessous")</f>
        <v>⚠️ RAPPROCHEMENT INCOMPLET – voir les lignes non rapprochées ci-dessous</v>
      </c>
      <c r="B16" s="41"/>
      <c r="C16" s="41"/>
      <c r="D16" s="41"/>
      <c r="E16" s="41"/>
      <c r="F16" s="41"/>
    </row>
    <row r="18" spans="1:6" ht="15" customHeight="1" x14ac:dyDescent="0.2">
      <c r="A18" s="42" t="s">
        <v>94</v>
      </c>
      <c r="B18" s="42"/>
      <c r="C18" s="42"/>
      <c r="D18" s="42" t="s">
        <v>95</v>
      </c>
      <c r="E18" s="42"/>
      <c r="F18" s="42"/>
    </row>
    <row r="19" spans="1:6" ht="18" customHeight="1" x14ac:dyDescent="0.2">
      <c r="A19" s="33" t="s">
        <v>31</v>
      </c>
      <c r="B19" s="33" t="s">
        <v>33</v>
      </c>
      <c r="C19" s="33" t="s">
        <v>36</v>
      </c>
      <c r="D19" s="33" t="s">
        <v>31</v>
      </c>
      <c r="E19" s="33" t="s">
        <v>33</v>
      </c>
      <c r="F19" s="33" t="s">
        <v>36</v>
      </c>
    </row>
    <row r="20" spans="1:6" ht="15" customHeight="1" x14ac:dyDescent="0.2">
      <c r="A20" s="34">
        <f>IFERROR(INDEX('🏦 Relevé Banque'!$A$4:$A$53,MATCH(1,'🏦 Relevé Banque'!$J$4:$J$53,0)),"")</f>
        <v>45695</v>
      </c>
      <c r="B20" s="35" t="str">
        <f>IFERROR(INDEX('🏦 Relevé Banque'!$C$4:$C$53,MATCH(1,'🏦 Relevé Banque'!$J$4:$J$53,0)),"")</f>
        <v>Chèque 4522 débité</v>
      </c>
      <c r="C20" s="36">
        <f>IFERROR(INDEX('🏦 Relevé Banque'!$F$4:$F$53,MATCH(1,'🏦 Relevé Banque'!$J$4:$J$53,0)),"")</f>
        <v>-640</v>
      </c>
      <c r="D20" s="34">
        <f>IFERROR(INDEX('📒 Comptabilité'!$A$4:$A$53,MATCH(1,'📒 Comptabilité'!$J$4:$J$53,0)),"")</f>
        <v>45667</v>
      </c>
      <c r="E20" s="35" t="str">
        <f>IFERROR(INDEX('📒 Comptabilité'!$C$4:$C$53,MATCH(1,'📒 Comptabilité'!$J$4:$J$53,0)),"")</f>
        <v>Chèque 4522 - Fourn. Delta</v>
      </c>
      <c r="F20" s="36">
        <f>IFERROR(INDEX('📒 Comptabilité'!$F$4:$F$53,MATCH(1,'📒 Comptabilité'!$J$4:$J$53,0)),"")</f>
        <v>-640</v>
      </c>
    </row>
    <row r="21" spans="1:6" ht="15" customHeight="1" x14ac:dyDescent="0.2">
      <c r="A21" s="37">
        <f>IFERROR(INDEX('🏦 Relevé Banque'!$A$4:$A$53,MATCH(2,'🏦 Relevé Banque'!$J$4:$J$53,0)),"")</f>
        <v>45675</v>
      </c>
      <c r="B21" s="38" t="str">
        <f>IFERROR(INDEX('🏦 Relevé Banque'!$C$4:$C$53,MATCH(2,'🏦 Relevé Banque'!$J$4:$J$53,0)),"")</f>
        <v>Agios trimestriels</v>
      </c>
      <c r="C21" s="39">
        <f>IFERROR(INDEX('🏦 Relevé Banque'!$F$4:$F$53,MATCH(2,'🏦 Relevé Banque'!$J$4:$J$53,0)),"")</f>
        <v>-62.3</v>
      </c>
      <c r="D21" s="37">
        <f>IFERROR(INDEX('📒 Comptabilité'!$A$4:$A$53,MATCH(2,'📒 Comptabilité'!$J$4:$J$53,0)),"")</f>
        <v>45672</v>
      </c>
      <c r="E21" s="38" t="str">
        <f>IFERROR(INDEX('📒 Comptabilité'!$C$4:$C$53,MATCH(2,'📒 Comptabilité'!$J$4:$J$53,0)),"")</f>
        <v>Frais bancaires</v>
      </c>
      <c r="F21" s="39">
        <f>IFERROR(INDEX('📒 Comptabilité'!$F$4:$F$53,MATCH(2,'📒 Comptabilité'!$J$4:$J$53,0)),"")</f>
        <v>-35</v>
      </c>
    </row>
    <row r="22" spans="1:6" ht="15" customHeight="1" x14ac:dyDescent="0.2">
      <c r="A22" s="34">
        <f>IFERROR(INDEX('🏦 Relevé Banque'!$A$4:$A$53,MATCH(3,'🏦 Relevé Banque'!$J$4:$J$53,0)),"")</f>
        <v>45687</v>
      </c>
      <c r="B22" s="35" t="str">
        <f>IFERROR(INDEX('🏦 Relevé Banque'!$C$4:$C$53,MATCH(3,'🏦 Relevé Banque'!$J$4:$J$53,0)),"")</f>
        <v>Intérêts créditeurs</v>
      </c>
      <c r="C22" s="36">
        <f>IFERROR(INDEX('🏦 Relevé Banque'!$F$4:$F$53,MATCH(3,'🏦 Relevé Banque'!$J$4:$J$53,0)),"")</f>
        <v>18.75</v>
      </c>
      <c r="D22" s="34">
        <f>IFERROR(INDEX('📒 Comptabilité'!$A$4:$A$53,MATCH(3,'📒 Comptabilité'!$J$4:$J$53,0)),"")</f>
        <v>45685</v>
      </c>
      <c r="E22" s="35" t="str">
        <f>IFERROR(INDEX('📒 Comptabilité'!$C$4:$C$53,MATCH(3,'📒 Comptabilité'!$J$4:$J$53,0)),"")</f>
        <v>Remb. note de frais</v>
      </c>
      <c r="F22" s="36">
        <f>IFERROR(INDEX('📒 Comptabilité'!$F$4:$F$53,MATCH(3,'📒 Comptabilité'!$J$4:$J$53,0)),"")</f>
        <v>-150</v>
      </c>
    </row>
    <row r="23" spans="1:6" ht="15" customHeight="1" x14ac:dyDescent="0.2">
      <c r="A23" s="37" t="str">
        <f>IFERROR(INDEX('🏦 Relevé Banque'!$A$4:$A$53,MATCH(4,'🏦 Relevé Banque'!$J$4:$J$53,0)),"")</f>
        <v/>
      </c>
      <c r="B23" s="38" t="str">
        <f>IFERROR(INDEX('🏦 Relevé Banque'!$C$4:$C$53,MATCH(4,'🏦 Relevé Banque'!$J$4:$J$53,0)),"")</f>
        <v/>
      </c>
      <c r="C23" s="39" t="str">
        <f>IFERROR(INDEX('🏦 Relevé Banque'!$F$4:$F$53,MATCH(4,'🏦 Relevé Banque'!$J$4:$J$53,0)),"")</f>
        <v/>
      </c>
      <c r="D23" s="37" t="str">
        <f>IFERROR(INDEX('📒 Comptabilité'!$A$4:$A$53,MATCH(4,'📒 Comptabilité'!$J$4:$J$53,0)),"")</f>
        <v/>
      </c>
      <c r="E23" s="38" t="str">
        <f>IFERROR(INDEX('📒 Comptabilité'!$C$4:$C$53,MATCH(4,'📒 Comptabilité'!$J$4:$J$53,0)),"")</f>
        <v/>
      </c>
      <c r="F23" s="39" t="str">
        <f>IFERROR(INDEX('📒 Comptabilité'!$F$4:$F$53,MATCH(4,'📒 Comptabilité'!$J$4:$J$53,0)),"")</f>
        <v/>
      </c>
    </row>
    <row r="24" spans="1:6" ht="15" customHeight="1" x14ac:dyDescent="0.2">
      <c r="A24" s="34" t="str">
        <f>IFERROR(INDEX('🏦 Relevé Banque'!$A$4:$A$53,MATCH(5,'🏦 Relevé Banque'!$J$4:$J$53,0)),"")</f>
        <v/>
      </c>
      <c r="B24" s="35" t="str">
        <f>IFERROR(INDEX('🏦 Relevé Banque'!$C$4:$C$53,MATCH(5,'🏦 Relevé Banque'!$J$4:$J$53,0)),"")</f>
        <v/>
      </c>
      <c r="C24" s="36" t="str">
        <f>IFERROR(INDEX('🏦 Relevé Banque'!$F$4:$F$53,MATCH(5,'🏦 Relevé Banque'!$J$4:$J$53,0)),"")</f>
        <v/>
      </c>
      <c r="D24" s="34" t="str">
        <f>IFERROR(INDEX('📒 Comptabilité'!$A$4:$A$53,MATCH(5,'📒 Comptabilité'!$J$4:$J$53,0)),"")</f>
        <v/>
      </c>
      <c r="E24" s="35" t="str">
        <f>IFERROR(INDEX('📒 Comptabilité'!$C$4:$C$53,MATCH(5,'📒 Comptabilité'!$J$4:$J$53,0)),"")</f>
        <v/>
      </c>
      <c r="F24" s="36" t="str">
        <f>IFERROR(INDEX('📒 Comptabilité'!$F$4:$F$53,MATCH(5,'📒 Comptabilité'!$J$4:$J$53,0)),"")</f>
        <v/>
      </c>
    </row>
    <row r="25" spans="1:6" ht="15" customHeight="1" x14ac:dyDescent="0.2">
      <c r="A25" s="37" t="str">
        <f>IFERROR(INDEX('🏦 Relevé Banque'!$A$4:$A$53,MATCH(6,'🏦 Relevé Banque'!$J$4:$J$53,0)),"")</f>
        <v/>
      </c>
      <c r="B25" s="38" t="str">
        <f>IFERROR(INDEX('🏦 Relevé Banque'!$C$4:$C$53,MATCH(6,'🏦 Relevé Banque'!$J$4:$J$53,0)),"")</f>
        <v/>
      </c>
      <c r="C25" s="39" t="str">
        <f>IFERROR(INDEX('🏦 Relevé Banque'!$F$4:$F$53,MATCH(6,'🏦 Relevé Banque'!$J$4:$J$53,0)),"")</f>
        <v/>
      </c>
      <c r="D25" s="37" t="str">
        <f>IFERROR(INDEX('📒 Comptabilité'!$A$4:$A$53,MATCH(6,'📒 Comptabilité'!$J$4:$J$53,0)),"")</f>
        <v/>
      </c>
      <c r="E25" s="38" t="str">
        <f>IFERROR(INDEX('📒 Comptabilité'!$C$4:$C$53,MATCH(6,'📒 Comptabilité'!$J$4:$J$53,0)),"")</f>
        <v/>
      </c>
      <c r="F25" s="39" t="str">
        <f>IFERROR(INDEX('📒 Comptabilité'!$F$4:$F$53,MATCH(6,'📒 Comptabilité'!$J$4:$J$53,0)),"")</f>
        <v/>
      </c>
    </row>
    <row r="26" spans="1:6" ht="15" customHeight="1" x14ac:dyDescent="0.2">
      <c r="A26" s="34" t="str">
        <f>IFERROR(INDEX('🏦 Relevé Banque'!$A$4:$A$53,MATCH(7,'🏦 Relevé Banque'!$J$4:$J$53,0)),"")</f>
        <v/>
      </c>
      <c r="B26" s="35" t="str">
        <f>IFERROR(INDEX('🏦 Relevé Banque'!$C$4:$C$53,MATCH(7,'🏦 Relevé Banque'!$J$4:$J$53,0)),"")</f>
        <v/>
      </c>
      <c r="C26" s="36" t="str">
        <f>IFERROR(INDEX('🏦 Relevé Banque'!$F$4:$F$53,MATCH(7,'🏦 Relevé Banque'!$J$4:$J$53,0)),"")</f>
        <v/>
      </c>
      <c r="D26" s="34" t="str">
        <f>IFERROR(INDEX('📒 Comptabilité'!$A$4:$A$53,MATCH(7,'📒 Comptabilité'!$J$4:$J$53,0)),"")</f>
        <v/>
      </c>
      <c r="E26" s="35" t="str">
        <f>IFERROR(INDEX('📒 Comptabilité'!$C$4:$C$53,MATCH(7,'📒 Comptabilité'!$J$4:$J$53,0)),"")</f>
        <v/>
      </c>
      <c r="F26" s="36" t="str">
        <f>IFERROR(INDEX('📒 Comptabilité'!$F$4:$F$53,MATCH(7,'📒 Comptabilité'!$J$4:$J$53,0)),"")</f>
        <v/>
      </c>
    </row>
    <row r="27" spans="1:6" ht="15" customHeight="1" x14ac:dyDescent="0.2">
      <c r="A27" s="37" t="str">
        <f>IFERROR(INDEX('🏦 Relevé Banque'!$A$4:$A$53,MATCH(8,'🏦 Relevé Banque'!$J$4:$J$53,0)),"")</f>
        <v/>
      </c>
      <c r="B27" s="38" t="str">
        <f>IFERROR(INDEX('🏦 Relevé Banque'!$C$4:$C$53,MATCH(8,'🏦 Relevé Banque'!$J$4:$J$53,0)),"")</f>
        <v/>
      </c>
      <c r="C27" s="39" t="str">
        <f>IFERROR(INDEX('🏦 Relevé Banque'!$F$4:$F$53,MATCH(8,'🏦 Relevé Banque'!$J$4:$J$53,0)),"")</f>
        <v/>
      </c>
      <c r="D27" s="37" t="str">
        <f>IFERROR(INDEX('📒 Comptabilité'!$A$4:$A$53,MATCH(8,'📒 Comptabilité'!$J$4:$J$53,0)),"")</f>
        <v/>
      </c>
      <c r="E27" s="38" t="str">
        <f>IFERROR(INDEX('📒 Comptabilité'!$C$4:$C$53,MATCH(8,'📒 Comptabilité'!$J$4:$J$53,0)),"")</f>
        <v/>
      </c>
      <c r="F27" s="39" t="str">
        <f>IFERROR(INDEX('📒 Comptabilité'!$F$4:$F$53,MATCH(8,'📒 Comptabilité'!$J$4:$J$53,0)),"")</f>
        <v/>
      </c>
    </row>
    <row r="28" spans="1:6" ht="15" customHeight="1" x14ac:dyDescent="0.2">
      <c r="A28" s="34" t="str">
        <f>IFERROR(INDEX('🏦 Relevé Banque'!$A$4:$A$53,MATCH(9,'🏦 Relevé Banque'!$J$4:$J$53,0)),"")</f>
        <v/>
      </c>
      <c r="B28" s="35" t="str">
        <f>IFERROR(INDEX('🏦 Relevé Banque'!$C$4:$C$53,MATCH(9,'🏦 Relevé Banque'!$J$4:$J$53,0)),"")</f>
        <v/>
      </c>
      <c r="C28" s="36" t="str">
        <f>IFERROR(INDEX('🏦 Relevé Banque'!$F$4:$F$53,MATCH(9,'🏦 Relevé Banque'!$J$4:$J$53,0)),"")</f>
        <v/>
      </c>
      <c r="D28" s="34" t="str">
        <f>IFERROR(INDEX('📒 Comptabilité'!$A$4:$A$53,MATCH(9,'📒 Comptabilité'!$J$4:$J$53,0)),"")</f>
        <v/>
      </c>
      <c r="E28" s="35" t="str">
        <f>IFERROR(INDEX('📒 Comptabilité'!$C$4:$C$53,MATCH(9,'📒 Comptabilité'!$J$4:$J$53,0)),"")</f>
        <v/>
      </c>
      <c r="F28" s="36" t="str">
        <f>IFERROR(INDEX('📒 Comptabilité'!$F$4:$F$53,MATCH(9,'📒 Comptabilité'!$J$4:$J$53,0)),"")</f>
        <v/>
      </c>
    </row>
    <row r="29" spans="1:6" ht="15" customHeight="1" x14ac:dyDescent="0.2">
      <c r="A29" s="37" t="str">
        <f>IFERROR(INDEX('🏦 Relevé Banque'!$A$4:$A$53,MATCH(10,'🏦 Relevé Banque'!$J$4:$J$53,0)),"")</f>
        <v/>
      </c>
      <c r="B29" s="38" t="str">
        <f>IFERROR(INDEX('🏦 Relevé Banque'!$C$4:$C$53,MATCH(10,'🏦 Relevé Banque'!$J$4:$J$53,0)),"")</f>
        <v/>
      </c>
      <c r="C29" s="39" t="str">
        <f>IFERROR(INDEX('🏦 Relevé Banque'!$F$4:$F$53,MATCH(10,'🏦 Relevé Banque'!$J$4:$J$53,0)),"")</f>
        <v/>
      </c>
      <c r="D29" s="37" t="str">
        <f>IFERROR(INDEX('📒 Comptabilité'!$A$4:$A$53,MATCH(10,'📒 Comptabilité'!$J$4:$J$53,0)),"")</f>
        <v/>
      </c>
      <c r="E29" s="38" t="str">
        <f>IFERROR(INDEX('📒 Comptabilité'!$C$4:$C$53,MATCH(10,'📒 Comptabilité'!$J$4:$J$53,0)),"")</f>
        <v/>
      </c>
      <c r="F29" s="39" t="str">
        <f>IFERROR(INDEX('📒 Comptabilité'!$F$4:$F$53,MATCH(10,'📒 Comptabilité'!$J$4:$J$53,0)),"")</f>
        <v/>
      </c>
    </row>
    <row r="30" spans="1:6" ht="15" customHeight="1" x14ac:dyDescent="0.2">
      <c r="A30" s="34" t="str">
        <f>IFERROR(INDEX('🏦 Relevé Banque'!$A$4:$A$53,MATCH(11,'🏦 Relevé Banque'!$J$4:$J$53,0)),"")</f>
        <v/>
      </c>
      <c r="B30" s="35" t="str">
        <f>IFERROR(INDEX('🏦 Relevé Banque'!$C$4:$C$53,MATCH(11,'🏦 Relevé Banque'!$J$4:$J$53,0)),"")</f>
        <v/>
      </c>
      <c r="C30" s="36" t="str">
        <f>IFERROR(INDEX('🏦 Relevé Banque'!$F$4:$F$53,MATCH(11,'🏦 Relevé Banque'!$J$4:$J$53,0)),"")</f>
        <v/>
      </c>
      <c r="D30" s="34" t="str">
        <f>IFERROR(INDEX('📒 Comptabilité'!$A$4:$A$53,MATCH(11,'📒 Comptabilité'!$J$4:$J$53,0)),"")</f>
        <v/>
      </c>
      <c r="E30" s="35" t="str">
        <f>IFERROR(INDEX('📒 Comptabilité'!$C$4:$C$53,MATCH(11,'📒 Comptabilité'!$J$4:$J$53,0)),"")</f>
        <v/>
      </c>
      <c r="F30" s="36" t="str">
        <f>IFERROR(INDEX('📒 Comptabilité'!$F$4:$F$53,MATCH(11,'📒 Comptabilité'!$J$4:$J$53,0)),"")</f>
        <v/>
      </c>
    </row>
    <row r="31" spans="1:6" ht="15" customHeight="1" x14ac:dyDescent="0.2">
      <c r="A31" s="37" t="str">
        <f>IFERROR(INDEX('🏦 Relevé Banque'!$A$4:$A$53,MATCH(12,'🏦 Relevé Banque'!$J$4:$J$53,0)),"")</f>
        <v/>
      </c>
      <c r="B31" s="38" t="str">
        <f>IFERROR(INDEX('🏦 Relevé Banque'!$C$4:$C$53,MATCH(12,'🏦 Relevé Banque'!$J$4:$J$53,0)),"")</f>
        <v/>
      </c>
      <c r="C31" s="39" t="str">
        <f>IFERROR(INDEX('🏦 Relevé Banque'!$F$4:$F$53,MATCH(12,'🏦 Relevé Banque'!$J$4:$J$53,0)),"")</f>
        <v/>
      </c>
      <c r="D31" s="37" t="str">
        <f>IFERROR(INDEX('📒 Comptabilité'!$A$4:$A$53,MATCH(12,'📒 Comptabilité'!$J$4:$J$53,0)),"")</f>
        <v/>
      </c>
      <c r="E31" s="38" t="str">
        <f>IFERROR(INDEX('📒 Comptabilité'!$C$4:$C$53,MATCH(12,'📒 Comptabilité'!$J$4:$J$53,0)),"")</f>
        <v/>
      </c>
      <c r="F31" s="39" t="str">
        <f>IFERROR(INDEX('📒 Comptabilité'!$F$4:$F$53,MATCH(12,'📒 Comptabilité'!$J$4:$J$53,0)),"")</f>
        <v/>
      </c>
    </row>
    <row r="32" spans="1:6" ht="15" customHeight="1" x14ac:dyDescent="0.2">
      <c r="A32" s="34" t="str">
        <f>IFERROR(INDEX('🏦 Relevé Banque'!$A$4:$A$53,MATCH(13,'🏦 Relevé Banque'!$J$4:$J$53,0)),"")</f>
        <v/>
      </c>
      <c r="B32" s="35" t="str">
        <f>IFERROR(INDEX('🏦 Relevé Banque'!$C$4:$C$53,MATCH(13,'🏦 Relevé Banque'!$J$4:$J$53,0)),"")</f>
        <v/>
      </c>
      <c r="C32" s="36" t="str">
        <f>IFERROR(INDEX('🏦 Relevé Banque'!$F$4:$F$53,MATCH(13,'🏦 Relevé Banque'!$J$4:$J$53,0)),"")</f>
        <v/>
      </c>
      <c r="D32" s="34" t="str">
        <f>IFERROR(INDEX('📒 Comptabilité'!$A$4:$A$53,MATCH(13,'📒 Comptabilité'!$J$4:$J$53,0)),"")</f>
        <v/>
      </c>
      <c r="E32" s="35" t="str">
        <f>IFERROR(INDEX('📒 Comptabilité'!$C$4:$C$53,MATCH(13,'📒 Comptabilité'!$J$4:$J$53,0)),"")</f>
        <v/>
      </c>
      <c r="F32" s="36" t="str">
        <f>IFERROR(INDEX('📒 Comptabilité'!$F$4:$F$53,MATCH(13,'📒 Comptabilité'!$J$4:$J$53,0)),"")</f>
        <v/>
      </c>
    </row>
    <row r="33" spans="1:6" ht="15" customHeight="1" x14ac:dyDescent="0.2">
      <c r="A33" s="37" t="str">
        <f>IFERROR(INDEX('🏦 Relevé Banque'!$A$4:$A$53,MATCH(14,'🏦 Relevé Banque'!$J$4:$J$53,0)),"")</f>
        <v/>
      </c>
      <c r="B33" s="38" t="str">
        <f>IFERROR(INDEX('🏦 Relevé Banque'!$C$4:$C$53,MATCH(14,'🏦 Relevé Banque'!$J$4:$J$53,0)),"")</f>
        <v/>
      </c>
      <c r="C33" s="39" t="str">
        <f>IFERROR(INDEX('🏦 Relevé Banque'!$F$4:$F$53,MATCH(14,'🏦 Relevé Banque'!$J$4:$J$53,0)),"")</f>
        <v/>
      </c>
      <c r="D33" s="37" t="str">
        <f>IFERROR(INDEX('📒 Comptabilité'!$A$4:$A$53,MATCH(14,'📒 Comptabilité'!$J$4:$J$53,0)),"")</f>
        <v/>
      </c>
      <c r="E33" s="38" t="str">
        <f>IFERROR(INDEX('📒 Comptabilité'!$C$4:$C$53,MATCH(14,'📒 Comptabilité'!$J$4:$J$53,0)),"")</f>
        <v/>
      </c>
      <c r="F33" s="39" t="str">
        <f>IFERROR(INDEX('📒 Comptabilité'!$F$4:$F$53,MATCH(14,'📒 Comptabilité'!$J$4:$J$53,0)),"")</f>
        <v/>
      </c>
    </row>
    <row r="34" spans="1:6" ht="15" customHeight="1" x14ac:dyDescent="0.2">
      <c r="A34" s="34" t="str">
        <f>IFERROR(INDEX('🏦 Relevé Banque'!$A$4:$A$53,MATCH(15,'🏦 Relevé Banque'!$J$4:$J$53,0)),"")</f>
        <v/>
      </c>
      <c r="B34" s="35" t="str">
        <f>IFERROR(INDEX('🏦 Relevé Banque'!$C$4:$C$53,MATCH(15,'🏦 Relevé Banque'!$J$4:$J$53,0)),"")</f>
        <v/>
      </c>
      <c r="C34" s="36" t="str">
        <f>IFERROR(INDEX('🏦 Relevé Banque'!$F$4:$F$53,MATCH(15,'🏦 Relevé Banque'!$J$4:$J$53,0)),"")</f>
        <v/>
      </c>
      <c r="D34" s="34" t="str">
        <f>IFERROR(INDEX('📒 Comptabilité'!$A$4:$A$53,MATCH(15,'📒 Comptabilité'!$J$4:$J$53,0)),"")</f>
        <v/>
      </c>
      <c r="E34" s="35" t="str">
        <f>IFERROR(INDEX('📒 Comptabilité'!$C$4:$C$53,MATCH(15,'📒 Comptabilité'!$J$4:$J$53,0)),"")</f>
        <v/>
      </c>
      <c r="F34" s="36" t="str">
        <f>IFERROR(INDEX('📒 Comptabilité'!$F$4:$F$53,MATCH(15,'📒 Comptabilité'!$J$4:$J$53,0)),"")</f>
        <v/>
      </c>
    </row>
    <row r="35" spans="1:6" ht="15" customHeight="1" x14ac:dyDescent="0.2">
      <c r="A35" s="37" t="str">
        <f>IFERROR(INDEX('🏦 Relevé Banque'!$A$4:$A$53,MATCH(16,'🏦 Relevé Banque'!$J$4:$J$53,0)),"")</f>
        <v/>
      </c>
      <c r="B35" s="38" t="str">
        <f>IFERROR(INDEX('🏦 Relevé Banque'!$C$4:$C$53,MATCH(16,'🏦 Relevé Banque'!$J$4:$J$53,0)),"")</f>
        <v/>
      </c>
      <c r="C35" s="39" t="str">
        <f>IFERROR(INDEX('🏦 Relevé Banque'!$F$4:$F$53,MATCH(16,'🏦 Relevé Banque'!$J$4:$J$53,0)),"")</f>
        <v/>
      </c>
      <c r="D35" s="37" t="str">
        <f>IFERROR(INDEX('📒 Comptabilité'!$A$4:$A$53,MATCH(16,'📒 Comptabilité'!$J$4:$J$53,0)),"")</f>
        <v/>
      </c>
      <c r="E35" s="38" t="str">
        <f>IFERROR(INDEX('📒 Comptabilité'!$C$4:$C$53,MATCH(16,'📒 Comptabilité'!$J$4:$J$53,0)),"")</f>
        <v/>
      </c>
      <c r="F35" s="39" t="str">
        <f>IFERROR(INDEX('📒 Comptabilité'!$F$4:$F$53,MATCH(16,'📒 Comptabilité'!$J$4:$J$53,0)),"")</f>
        <v/>
      </c>
    </row>
    <row r="36" spans="1:6" ht="15" customHeight="1" x14ac:dyDescent="0.2">
      <c r="A36" s="34" t="str">
        <f>IFERROR(INDEX('🏦 Relevé Banque'!$A$4:$A$53,MATCH(17,'🏦 Relevé Banque'!$J$4:$J$53,0)),"")</f>
        <v/>
      </c>
      <c r="B36" s="35" t="str">
        <f>IFERROR(INDEX('🏦 Relevé Banque'!$C$4:$C$53,MATCH(17,'🏦 Relevé Banque'!$J$4:$J$53,0)),"")</f>
        <v/>
      </c>
      <c r="C36" s="36" t="str">
        <f>IFERROR(INDEX('🏦 Relevé Banque'!$F$4:$F$53,MATCH(17,'🏦 Relevé Banque'!$J$4:$J$53,0)),"")</f>
        <v/>
      </c>
      <c r="D36" s="34" t="str">
        <f>IFERROR(INDEX('📒 Comptabilité'!$A$4:$A$53,MATCH(17,'📒 Comptabilité'!$J$4:$J$53,0)),"")</f>
        <v/>
      </c>
      <c r="E36" s="35" t="str">
        <f>IFERROR(INDEX('📒 Comptabilité'!$C$4:$C$53,MATCH(17,'📒 Comptabilité'!$J$4:$J$53,0)),"")</f>
        <v/>
      </c>
      <c r="F36" s="36" t="str">
        <f>IFERROR(INDEX('📒 Comptabilité'!$F$4:$F$53,MATCH(17,'📒 Comptabilité'!$J$4:$J$53,0)),"")</f>
        <v/>
      </c>
    </row>
    <row r="37" spans="1:6" ht="15" customHeight="1" x14ac:dyDescent="0.2">
      <c r="A37" s="37" t="str">
        <f>IFERROR(INDEX('🏦 Relevé Banque'!$A$4:$A$53,MATCH(18,'🏦 Relevé Banque'!$J$4:$J$53,0)),"")</f>
        <v/>
      </c>
      <c r="B37" s="38" t="str">
        <f>IFERROR(INDEX('🏦 Relevé Banque'!$C$4:$C$53,MATCH(18,'🏦 Relevé Banque'!$J$4:$J$53,0)),"")</f>
        <v/>
      </c>
      <c r="C37" s="39" t="str">
        <f>IFERROR(INDEX('🏦 Relevé Banque'!$F$4:$F$53,MATCH(18,'🏦 Relevé Banque'!$J$4:$J$53,0)),"")</f>
        <v/>
      </c>
      <c r="D37" s="37" t="str">
        <f>IFERROR(INDEX('📒 Comptabilité'!$A$4:$A$53,MATCH(18,'📒 Comptabilité'!$J$4:$J$53,0)),"")</f>
        <v/>
      </c>
      <c r="E37" s="38" t="str">
        <f>IFERROR(INDEX('📒 Comptabilité'!$C$4:$C$53,MATCH(18,'📒 Comptabilité'!$J$4:$J$53,0)),"")</f>
        <v/>
      </c>
      <c r="F37" s="39" t="str">
        <f>IFERROR(INDEX('📒 Comptabilité'!$F$4:$F$53,MATCH(18,'📒 Comptabilité'!$J$4:$J$53,0)),"")</f>
        <v/>
      </c>
    </row>
    <row r="38" spans="1:6" ht="15" customHeight="1" x14ac:dyDescent="0.2">
      <c r="A38" s="34" t="str">
        <f>IFERROR(INDEX('🏦 Relevé Banque'!$A$4:$A$53,MATCH(19,'🏦 Relevé Banque'!$J$4:$J$53,0)),"")</f>
        <v/>
      </c>
      <c r="B38" s="35" t="str">
        <f>IFERROR(INDEX('🏦 Relevé Banque'!$C$4:$C$53,MATCH(19,'🏦 Relevé Banque'!$J$4:$J$53,0)),"")</f>
        <v/>
      </c>
      <c r="C38" s="36" t="str">
        <f>IFERROR(INDEX('🏦 Relevé Banque'!$F$4:$F$53,MATCH(19,'🏦 Relevé Banque'!$J$4:$J$53,0)),"")</f>
        <v/>
      </c>
      <c r="D38" s="34" t="str">
        <f>IFERROR(INDEX('📒 Comptabilité'!$A$4:$A$53,MATCH(19,'📒 Comptabilité'!$J$4:$J$53,0)),"")</f>
        <v/>
      </c>
      <c r="E38" s="35" t="str">
        <f>IFERROR(INDEX('📒 Comptabilité'!$C$4:$C$53,MATCH(19,'📒 Comptabilité'!$J$4:$J$53,0)),"")</f>
        <v/>
      </c>
      <c r="F38" s="36" t="str">
        <f>IFERROR(INDEX('📒 Comptabilité'!$F$4:$F$53,MATCH(19,'📒 Comptabilité'!$J$4:$J$53,0)),"")</f>
        <v/>
      </c>
    </row>
    <row r="39" spans="1:6" ht="15" customHeight="1" x14ac:dyDescent="0.2">
      <c r="A39" s="37" t="str">
        <f>IFERROR(INDEX('🏦 Relevé Banque'!$A$4:$A$53,MATCH(20,'🏦 Relevé Banque'!$J$4:$J$53,0)),"")</f>
        <v/>
      </c>
      <c r="B39" s="38" t="str">
        <f>IFERROR(INDEX('🏦 Relevé Banque'!$C$4:$C$53,MATCH(20,'🏦 Relevé Banque'!$J$4:$J$53,0)),"")</f>
        <v/>
      </c>
      <c r="C39" s="39" t="str">
        <f>IFERROR(INDEX('🏦 Relevé Banque'!$F$4:$F$53,MATCH(20,'🏦 Relevé Banque'!$J$4:$J$53,0)),"")</f>
        <v/>
      </c>
      <c r="D39" s="37" t="str">
        <f>IFERROR(INDEX('📒 Comptabilité'!$A$4:$A$53,MATCH(20,'📒 Comptabilité'!$J$4:$J$53,0)),"")</f>
        <v/>
      </c>
      <c r="E39" s="38" t="str">
        <f>IFERROR(INDEX('📒 Comptabilité'!$C$4:$C$53,MATCH(20,'📒 Comptabilité'!$J$4:$J$53,0)),"")</f>
        <v/>
      </c>
      <c r="F39" s="39" t="str">
        <f>IFERROR(INDEX('📒 Comptabilité'!$F$4:$F$53,MATCH(20,'📒 Comptabilité'!$J$4:$J$53,0)),"")</f>
        <v/>
      </c>
    </row>
    <row r="40" spans="1:6" ht="15" customHeight="1" x14ac:dyDescent="0.2">
      <c r="A40" s="34" t="str">
        <f>IFERROR(INDEX('🏦 Relevé Banque'!$A$4:$A$53,MATCH(21,'🏦 Relevé Banque'!$J$4:$J$53,0)),"")</f>
        <v/>
      </c>
      <c r="B40" s="35" t="str">
        <f>IFERROR(INDEX('🏦 Relevé Banque'!$C$4:$C$53,MATCH(21,'🏦 Relevé Banque'!$J$4:$J$53,0)),"")</f>
        <v/>
      </c>
      <c r="C40" s="36" t="str">
        <f>IFERROR(INDEX('🏦 Relevé Banque'!$F$4:$F$53,MATCH(21,'🏦 Relevé Banque'!$J$4:$J$53,0)),"")</f>
        <v/>
      </c>
      <c r="D40" s="34" t="str">
        <f>IFERROR(INDEX('📒 Comptabilité'!$A$4:$A$53,MATCH(21,'📒 Comptabilité'!$J$4:$J$53,0)),"")</f>
        <v/>
      </c>
      <c r="E40" s="35" t="str">
        <f>IFERROR(INDEX('📒 Comptabilité'!$C$4:$C$53,MATCH(21,'📒 Comptabilité'!$J$4:$J$53,0)),"")</f>
        <v/>
      </c>
      <c r="F40" s="36" t="str">
        <f>IFERROR(INDEX('📒 Comptabilité'!$F$4:$F$53,MATCH(21,'📒 Comptabilité'!$J$4:$J$53,0)),"")</f>
        <v/>
      </c>
    </row>
    <row r="41" spans="1:6" ht="15" customHeight="1" x14ac:dyDescent="0.2">
      <c r="A41" s="37" t="str">
        <f>IFERROR(INDEX('🏦 Relevé Banque'!$A$4:$A$53,MATCH(22,'🏦 Relevé Banque'!$J$4:$J$53,0)),"")</f>
        <v/>
      </c>
      <c r="B41" s="38" t="str">
        <f>IFERROR(INDEX('🏦 Relevé Banque'!$C$4:$C$53,MATCH(22,'🏦 Relevé Banque'!$J$4:$J$53,0)),"")</f>
        <v/>
      </c>
      <c r="C41" s="39" t="str">
        <f>IFERROR(INDEX('🏦 Relevé Banque'!$F$4:$F$53,MATCH(22,'🏦 Relevé Banque'!$J$4:$J$53,0)),"")</f>
        <v/>
      </c>
      <c r="D41" s="37" t="str">
        <f>IFERROR(INDEX('📒 Comptabilité'!$A$4:$A$53,MATCH(22,'📒 Comptabilité'!$J$4:$J$53,0)),"")</f>
        <v/>
      </c>
      <c r="E41" s="38" t="str">
        <f>IFERROR(INDEX('📒 Comptabilité'!$C$4:$C$53,MATCH(22,'📒 Comptabilité'!$J$4:$J$53,0)),"")</f>
        <v/>
      </c>
      <c r="F41" s="39" t="str">
        <f>IFERROR(INDEX('📒 Comptabilité'!$F$4:$F$53,MATCH(22,'📒 Comptabilité'!$J$4:$J$53,0)),"")</f>
        <v/>
      </c>
    </row>
    <row r="42" spans="1:6" ht="15" customHeight="1" x14ac:dyDescent="0.2">
      <c r="A42" s="34" t="str">
        <f>IFERROR(INDEX('🏦 Relevé Banque'!$A$4:$A$53,MATCH(23,'🏦 Relevé Banque'!$J$4:$J$53,0)),"")</f>
        <v/>
      </c>
      <c r="B42" s="35" t="str">
        <f>IFERROR(INDEX('🏦 Relevé Banque'!$C$4:$C$53,MATCH(23,'🏦 Relevé Banque'!$J$4:$J$53,0)),"")</f>
        <v/>
      </c>
      <c r="C42" s="36" t="str">
        <f>IFERROR(INDEX('🏦 Relevé Banque'!$F$4:$F$53,MATCH(23,'🏦 Relevé Banque'!$J$4:$J$53,0)),"")</f>
        <v/>
      </c>
      <c r="D42" s="34" t="str">
        <f>IFERROR(INDEX('📒 Comptabilité'!$A$4:$A$53,MATCH(23,'📒 Comptabilité'!$J$4:$J$53,0)),"")</f>
        <v/>
      </c>
      <c r="E42" s="35" t="str">
        <f>IFERROR(INDEX('📒 Comptabilité'!$C$4:$C$53,MATCH(23,'📒 Comptabilité'!$J$4:$J$53,0)),"")</f>
        <v/>
      </c>
      <c r="F42" s="36" t="str">
        <f>IFERROR(INDEX('📒 Comptabilité'!$F$4:$F$53,MATCH(23,'📒 Comptabilité'!$J$4:$J$53,0)),"")</f>
        <v/>
      </c>
    </row>
    <row r="43" spans="1:6" ht="15" customHeight="1" x14ac:dyDescent="0.2">
      <c r="A43" s="37" t="str">
        <f>IFERROR(INDEX('🏦 Relevé Banque'!$A$4:$A$53,MATCH(24,'🏦 Relevé Banque'!$J$4:$J$53,0)),"")</f>
        <v/>
      </c>
      <c r="B43" s="38" t="str">
        <f>IFERROR(INDEX('🏦 Relevé Banque'!$C$4:$C$53,MATCH(24,'🏦 Relevé Banque'!$J$4:$J$53,0)),"")</f>
        <v/>
      </c>
      <c r="C43" s="39" t="str">
        <f>IFERROR(INDEX('🏦 Relevé Banque'!$F$4:$F$53,MATCH(24,'🏦 Relevé Banque'!$J$4:$J$53,0)),"")</f>
        <v/>
      </c>
      <c r="D43" s="37" t="str">
        <f>IFERROR(INDEX('📒 Comptabilité'!$A$4:$A$53,MATCH(24,'📒 Comptabilité'!$J$4:$J$53,0)),"")</f>
        <v/>
      </c>
      <c r="E43" s="38" t="str">
        <f>IFERROR(INDEX('📒 Comptabilité'!$C$4:$C$53,MATCH(24,'📒 Comptabilité'!$J$4:$J$53,0)),"")</f>
        <v/>
      </c>
      <c r="F43" s="39" t="str">
        <f>IFERROR(INDEX('📒 Comptabilité'!$F$4:$F$53,MATCH(24,'📒 Comptabilité'!$J$4:$J$53,0)),"")</f>
        <v/>
      </c>
    </row>
    <row r="44" spans="1:6" ht="15" customHeight="1" x14ac:dyDescent="0.2">
      <c r="A44" s="34" t="str">
        <f>IFERROR(INDEX('🏦 Relevé Banque'!$A$4:$A$53,MATCH(25,'🏦 Relevé Banque'!$J$4:$J$53,0)),"")</f>
        <v/>
      </c>
      <c r="B44" s="35" t="str">
        <f>IFERROR(INDEX('🏦 Relevé Banque'!$C$4:$C$53,MATCH(25,'🏦 Relevé Banque'!$J$4:$J$53,0)),"")</f>
        <v/>
      </c>
      <c r="C44" s="36" t="str">
        <f>IFERROR(INDEX('🏦 Relevé Banque'!$F$4:$F$53,MATCH(25,'🏦 Relevé Banque'!$J$4:$J$53,0)),"")</f>
        <v/>
      </c>
      <c r="D44" s="34" t="str">
        <f>IFERROR(INDEX('📒 Comptabilité'!$A$4:$A$53,MATCH(25,'📒 Comptabilité'!$J$4:$J$53,0)),"")</f>
        <v/>
      </c>
      <c r="E44" s="35" t="str">
        <f>IFERROR(INDEX('📒 Comptabilité'!$C$4:$C$53,MATCH(25,'📒 Comptabilité'!$J$4:$J$53,0)),"")</f>
        <v/>
      </c>
      <c r="F44" s="36" t="str">
        <f>IFERROR(INDEX('📒 Comptabilité'!$F$4:$F$53,MATCH(25,'📒 Comptabilité'!$J$4:$J$53,0)),"")</f>
        <v/>
      </c>
    </row>
  </sheetData>
  <mergeCells count="23">
    <mergeCell ref="A13:C13"/>
    <mergeCell ref="D13:F13"/>
    <mergeCell ref="A15:F15"/>
    <mergeCell ref="A16:F16"/>
    <mergeCell ref="A18:C18"/>
    <mergeCell ref="D18:F18"/>
    <mergeCell ref="A10:C10"/>
    <mergeCell ref="D10:F10"/>
    <mergeCell ref="A11:C11"/>
    <mergeCell ref="D11:F11"/>
    <mergeCell ref="A12:C12"/>
    <mergeCell ref="D12:F12"/>
    <mergeCell ref="A6:C6"/>
    <mergeCell ref="D6:F6"/>
    <mergeCell ref="A8:F8"/>
    <mergeCell ref="A9:C9"/>
    <mergeCell ref="D9:F9"/>
    <mergeCell ref="A1:F1"/>
    <mergeCell ref="A3:F3"/>
    <mergeCell ref="A4:C4"/>
    <mergeCell ref="D4:F4"/>
    <mergeCell ref="A5:C5"/>
    <mergeCell ref="D5:F5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📋 Guide</vt:lpstr>
      <vt:lpstr>⚙️ Paramètres</vt:lpstr>
      <vt:lpstr>🏦 Relevé Banque</vt:lpstr>
      <vt:lpstr>📒 Comptabilité</vt:lpstr>
      <vt:lpstr>📊 Synthèse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Assami SILGA</cp:lastModifiedBy>
  <cp:revision>0</cp:revision>
  <dcterms:created xsi:type="dcterms:W3CDTF">2026-06-22T15:00:36Z</dcterms:created>
  <dcterms:modified xsi:type="dcterms:W3CDTF">2026-06-23T22:09:51Z</dcterms:modified>
  <dc:language>en-US</dc:language>
</cp:coreProperties>
</file>